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35" windowHeight="8700" tabRatio="864" activeTab="0"/>
  </bookViews>
  <sheets>
    <sheet name="Hovedtal" sheetId="1" r:id="rId1"/>
    <sheet name="Drift" sheetId="2" r:id="rId2"/>
    <sheet name="Balance" sheetId="3" r:id="rId3"/>
    <sheet name="Øko. nøgletal" sheetId="4" r:id="rId4"/>
    <sheet name="Medlemsstatus" sheetId="5" r:id="rId5"/>
    <sheet name="Medlemsændringer" sheetId="6" r:id="rId6"/>
    <sheet name="Aktivitetsoversigt" sheetId="7" r:id="rId7"/>
    <sheet name="Takstblad" sheetId="8" r:id="rId8"/>
    <sheet name="Investeringsplan" sheetId="9" r:id="rId9"/>
    <sheet name="Aktivsalg" sheetId="10" r:id="rId10"/>
    <sheet name="Afskrivninger" sheetId="11" r:id="rId11"/>
    <sheet name="TMG drift" sheetId="12" r:id="rId12"/>
  </sheets>
  <definedNames/>
  <calcPr fullCalcOnLoad="1"/>
</workbook>
</file>

<file path=xl/sharedStrings.xml><?xml version="1.0" encoding="utf-8"?>
<sst xmlns="http://schemas.openxmlformats.org/spreadsheetml/2006/main" count="746" uniqueCount="282">
  <si>
    <t>Nøgletal for budgetfremskrivning</t>
  </si>
  <si>
    <t>Inflation</t>
  </si>
  <si>
    <t>Indlånsrente</t>
  </si>
  <si>
    <t>Udlånsrente</t>
  </si>
  <si>
    <t>Fremskrivning medlemsstatus</t>
  </si>
  <si>
    <t>Senior</t>
  </si>
  <si>
    <t>Aktiv 2</t>
  </si>
  <si>
    <t>Aktiv 1</t>
  </si>
  <si>
    <t>Aktiv 3</t>
  </si>
  <si>
    <t>Passiv m. PFT</t>
  </si>
  <si>
    <t>Selvejer</t>
  </si>
  <si>
    <t>Studiekort</t>
  </si>
  <si>
    <t>Pensionist</t>
  </si>
  <si>
    <t>Prøvemedlem</t>
  </si>
  <si>
    <t>Indskudsmedl.</t>
  </si>
  <si>
    <t>Gæstemedlem</t>
  </si>
  <si>
    <t>Junior</t>
  </si>
  <si>
    <t>TMG</t>
  </si>
  <si>
    <t>Privatejerfly</t>
  </si>
  <si>
    <t>Årskort</t>
  </si>
  <si>
    <t>ASK 21</t>
  </si>
  <si>
    <t>Duo Discus</t>
  </si>
  <si>
    <t>SZD 59 ACRO</t>
  </si>
  <si>
    <t>LS-4</t>
  </si>
  <si>
    <t>LS-6</t>
  </si>
  <si>
    <t>LS-10</t>
  </si>
  <si>
    <t>Discus B</t>
  </si>
  <si>
    <t>Medlemsforskydninger netto</t>
  </si>
  <si>
    <t xml:space="preserve">Passiv </t>
  </si>
  <si>
    <t>Fremskrivning TMG tacho minutter</t>
  </si>
  <si>
    <t>Fremskrivning Turbo tacho minutter</t>
  </si>
  <si>
    <t>Passiv</t>
  </si>
  <si>
    <t>Fremskrevet takstblad TMG tacho minutter</t>
  </si>
  <si>
    <t>Fremskrevet takstblad Turbo tacho minutter</t>
  </si>
  <si>
    <t>Indskud</t>
  </si>
  <si>
    <t>Årskort:</t>
  </si>
  <si>
    <t>Privatejergebyr:</t>
  </si>
  <si>
    <t>Rådighedsdage svævefly</t>
  </si>
  <si>
    <t>Rådighedsgebyr svævefly</t>
  </si>
  <si>
    <t>Opspændte svævefly i hangar</t>
  </si>
  <si>
    <t>Motorfly i hangar</t>
  </si>
  <si>
    <t>Hytteafgift:</t>
  </si>
  <si>
    <t>A-hytter</t>
  </si>
  <si>
    <t>Små hytter</t>
  </si>
  <si>
    <t>Afskrivning  jordmateriel</t>
  </si>
  <si>
    <t>Afskrivning radio, inst.</t>
  </si>
  <si>
    <t>Afskrivning faldskærm</t>
  </si>
  <si>
    <t>Afskrivning trp. Vogne</t>
  </si>
  <si>
    <t>Afskrivning fly</t>
  </si>
  <si>
    <t>Afskrivning bygninger</t>
  </si>
  <si>
    <t>Vurdering</t>
  </si>
  <si>
    <t>Aktivitetsniveau flyvning</t>
  </si>
  <si>
    <t>Investeringsplan</t>
  </si>
  <si>
    <t>Fly:</t>
  </si>
  <si>
    <t>Transportvogne:</t>
  </si>
  <si>
    <t>LS-10 vogn</t>
  </si>
  <si>
    <t>Afskrivning TMG motor pr.time</t>
  </si>
  <si>
    <t>Afskrivning TMG propel pr.time</t>
  </si>
  <si>
    <t>Radio:</t>
  </si>
  <si>
    <t>LS-10 radio</t>
  </si>
  <si>
    <t>Faldskærm:</t>
  </si>
  <si>
    <t>LS-10 skærm</t>
  </si>
  <si>
    <t>Instrumenter:</t>
  </si>
  <si>
    <t>Nav. Udstyr:</t>
  </si>
  <si>
    <t>LS-10 inst.</t>
  </si>
  <si>
    <t>LS-10 navigation</t>
  </si>
  <si>
    <t>Motorer:</t>
  </si>
  <si>
    <t>LS-10 turbo</t>
  </si>
  <si>
    <t>Propel:</t>
  </si>
  <si>
    <t>Jordmateriel:</t>
  </si>
  <si>
    <t>Spil</t>
  </si>
  <si>
    <t>Klubhus:</t>
  </si>
  <si>
    <t>Inventar:</t>
  </si>
  <si>
    <t>Årets investeringer</t>
  </si>
  <si>
    <t>Hangar:</t>
  </si>
  <si>
    <t>Andre bygninger:</t>
  </si>
  <si>
    <t>Afhændelse af aktiver</t>
  </si>
  <si>
    <t>Årets afhændelser</t>
  </si>
  <si>
    <t>Kontingenter</t>
  </si>
  <si>
    <t>Indtægter flyvning</t>
  </si>
  <si>
    <t>Indtægter andet</t>
  </si>
  <si>
    <t>Lejeindtægter</t>
  </si>
  <si>
    <t>Tilskud</t>
  </si>
  <si>
    <t>Tutten resultatandel</t>
  </si>
  <si>
    <t>Resultat tutten</t>
  </si>
  <si>
    <t>Udgifter:</t>
  </si>
  <si>
    <t>Indtægter:</t>
  </si>
  <si>
    <t>Jordmateriel</t>
  </si>
  <si>
    <t>Bygninger</t>
  </si>
  <si>
    <t>Værktøj og materialer</t>
  </si>
  <si>
    <t>Indtægter i alt</t>
  </si>
  <si>
    <t>Udgifter i alt</t>
  </si>
  <si>
    <t>Resultat før renter</t>
  </si>
  <si>
    <t>Renter og gebyrer</t>
  </si>
  <si>
    <t>Tab debitorer</t>
  </si>
  <si>
    <t>Resultat før afskrivninger</t>
  </si>
  <si>
    <t>Afskrivninger</t>
  </si>
  <si>
    <t>Resultat for ekstraordinære poster</t>
  </si>
  <si>
    <t>Ekstraordinære indtægter</t>
  </si>
  <si>
    <t>Ekstraordinære udgifter</t>
  </si>
  <si>
    <t>Gaver</t>
  </si>
  <si>
    <t>Hensættelser</t>
  </si>
  <si>
    <t>Årets resultat</t>
  </si>
  <si>
    <t>Afskrivning aktiver</t>
  </si>
  <si>
    <t>Fly</t>
  </si>
  <si>
    <t>Saldo primo</t>
  </si>
  <si>
    <t>Årets tilgang</t>
  </si>
  <si>
    <t>Årets afgang</t>
  </si>
  <si>
    <t>Afskrivningsgrundlag</t>
  </si>
  <si>
    <t>Saldo ultimo</t>
  </si>
  <si>
    <t>Flymotorer</t>
  </si>
  <si>
    <t>Transportvogne</t>
  </si>
  <si>
    <t>Radio, nav. og inst.</t>
  </si>
  <si>
    <t>Faldskærme</t>
  </si>
  <si>
    <t>TV, IT og videoovervågning</t>
  </si>
  <si>
    <t>Klubhus inventar</t>
  </si>
  <si>
    <t>Hangar- og værkstedsudstyr</t>
  </si>
  <si>
    <t>Afskrivning</t>
  </si>
  <si>
    <t>Afskrivning inventar, IT, video mv.</t>
  </si>
  <si>
    <t>Afskrivning værkstedsudstyr</t>
  </si>
  <si>
    <t>Indtægter fra kursus, reklamer</t>
  </si>
  <si>
    <t>Driftsmidler og vedligehold</t>
  </si>
  <si>
    <t>Øvrige omkost. Ifm. flyvning</t>
  </si>
  <si>
    <t>Udendørs</t>
  </si>
  <si>
    <t>Omkostninger ifm. kurser</t>
  </si>
  <si>
    <t>Driftsindtægter</t>
  </si>
  <si>
    <t>Kontingent indtægter</t>
  </si>
  <si>
    <t>Startafgifter</t>
  </si>
  <si>
    <t>Gæstestarter</t>
  </si>
  <si>
    <t>Fremskrivning starter svæveflyvning pr. medlem</t>
  </si>
  <si>
    <t>Fremskrivning minutter flyvetid svæveflyvning pr. medlem</t>
  </si>
  <si>
    <t>Fremskrevet takstblad kontingent pr. måned</t>
  </si>
  <si>
    <t>Indskud pr. medlem</t>
  </si>
  <si>
    <t>Aktiv 3 årlig</t>
  </si>
  <si>
    <t>Minutafgifter</t>
  </si>
  <si>
    <t>Tacho TMG</t>
  </si>
  <si>
    <t>Tacho Turbo</t>
  </si>
  <si>
    <t>Samlet kontingentindtægter</t>
  </si>
  <si>
    <t>Samlet startafgifter</t>
  </si>
  <si>
    <t>Samlet minutafgifter</t>
  </si>
  <si>
    <t>Samlet Tacho TMG</t>
  </si>
  <si>
    <t>Samlet Tacho Turbo</t>
  </si>
  <si>
    <t>Andre indtægter</t>
  </si>
  <si>
    <t>Legater og annoncer</t>
  </si>
  <si>
    <t>El, internet- og rabatter</t>
  </si>
  <si>
    <t>I alt andre indtægter</t>
  </si>
  <si>
    <t>Hangarudleje</t>
  </si>
  <si>
    <t>A-hytter grundleje</t>
  </si>
  <si>
    <t>Hundehuse</t>
  </si>
  <si>
    <t>I alt lejeindtægter</t>
  </si>
  <si>
    <t>Lokaletilskud</t>
  </si>
  <si>
    <t>Junior tilskud</t>
  </si>
  <si>
    <t>I alt tilskud</t>
  </si>
  <si>
    <t>Forsikringspræmie svævefly</t>
  </si>
  <si>
    <t>Driftudgifter</t>
  </si>
  <si>
    <t>Vedligehold svævefly</t>
  </si>
  <si>
    <t>Vedligehold + benzin TMG</t>
  </si>
  <si>
    <t>Vedligehold + benzin MOFA</t>
  </si>
  <si>
    <t>Vedligehold + benzin RAX</t>
  </si>
  <si>
    <t>I alt driftsmidler + vedligehold</t>
  </si>
  <si>
    <t>Renovering instrumenter</t>
  </si>
  <si>
    <t>Registrering vogne + fly</t>
  </si>
  <si>
    <t>Kasko transportvogne</t>
  </si>
  <si>
    <t>Forsikring svævefly</t>
  </si>
  <si>
    <t>Forsikring TMG</t>
  </si>
  <si>
    <t>Landingsafgift TMG</t>
  </si>
  <si>
    <t>Forsikring MOFA</t>
  </si>
  <si>
    <t>Landingsafgift MOFA</t>
  </si>
  <si>
    <t>I alt øvrige omkostninger</t>
  </si>
  <si>
    <t>Bygninger + udendørs</t>
  </si>
  <si>
    <t>Bygningsomkost.+ udendørs</t>
  </si>
  <si>
    <t>Klubhus EKVH</t>
  </si>
  <si>
    <t>Storvorde værksted</t>
  </si>
  <si>
    <t>Vedligehold hytter</t>
  </si>
  <si>
    <t>Hangarer inkl. leje</t>
  </si>
  <si>
    <t>I alt bygningsomkostninger</t>
  </si>
  <si>
    <t>S - teori</t>
  </si>
  <si>
    <t>I - kurser</t>
  </si>
  <si>
    <t>M - kurser</t>
  </si>
  <si>
    <t>Kontrollant kurser</t>
  </si>
  <si>
    <t>Bestyrelsesuddannelse</t>
  </si>
  <si>
    <t>I alt omkost. Ifm. kurser</t>
  </si>
  <si>
    <t>Medlemmer og administration</t>
  </si>
  <si>
    <t>Medlemsforsikring</t>
  </si>
  <si>
    <t>Medlemsmøder</t>
  </si>
  <si>
    <t>PR</t>
  </si>
  <si>
    <t>Annoncer</t>
  </si>
  <si>
    <t>Administration generelt</t>
  </si>
  <si>
    <t>Klubblad</t>
  </si>
  <si>
    <t>I alt medl. og administration</t>
  </si>
  <si>
    <t>Andre tilskud</t>
  </si>
  <si>
    <t>Samlede indtægter fra flyvning</t>
  </si>
  <si>
    <t>Aktiver</t>
  </si>
  <si>
    <t>Kassekredit</t>
  </si>
  <si>
    <t>Bank og kassebeholdning</t>
  </si>
  <si>
    <t>Tilgodehavender</t>
  </si>
  <si>
    <t>flymotorer</t>
  </si>
  <si>
    <t>TV, IT, overvågningsudstyr</t>
  </si>
  <si>
    <t>Brændstofbeholdninger</t>
  </si>
  <si>
    <t>Balance</t>
  </si>
  <si>
    <t>Passiver i alt</t>
  </si>
  <si>
    <t>Aktiver i alt</t>
  </si>
  <si>
    <t>Passiver</t>
  </si>
  <si>
    <t>Formue primo</t>
  </si>
  <si>
    <t>Årets reguleringer</t>
  </si>
  <si>
    <t>Formue ultimo</t>
  </si>
  <si>
    <t>Samlekonto medlemmer</t>
  </si>
  <si>
    <t>Tutten</t>
  </si>
  <si>
    <t>Kreditorer</t>
  </si>
  <si>
    <t>Depositum</t>
  </si>
  <si>
    <t>Anden kortfristet gæld</t>
  </si>
  <si>
    <t>Div. Omkostninger</t>
  </si>
  <si>
    <t>Unionsmedlemskab</t>
  </si>
  <si>
    <t>Fremskrevet takstblad startafgift svævefly</t>
  </si>
  <si>
    <t>Fremskrevet takstblad minutafgifter svævefly</t>
  </si>
  <si>
    <t>Samlede afskrivninger</t>
  </si>
  <si>
    <t>Brændstofbeholdning</t>
  </si>
  <si>
    <t>Årets samlede afhændelser</t>
  </si>
  <si>
    <t>Gæstestart</t>
  </si>
  <si>
    <t>Drift TMG pr. time</t>
  </si>
  <si>
    <t>Samlet årskort indtægt</t>
  </si>
  <si>
    <t>Drift TMG flyslæb pr. time</t>
  </si>
  <si>
    <t>Jordradioer</t>
  </si>
  <si>
    <t>MOFA</t>
  </si>
  <si>
    <t>Unionsmedlemskab månedlig</t>
  </si>
  <si>
    <t>Afskrivning Duo Turbo pr. time</t>
  </si>
  <si>
    <t>Afskrivning LS-10 Turbo pr. time</t>
  </si>
  <si>
    <t>Drift Duo Turbo pr. time</t>
  </si>
  <si>
    <t>Drift LS-10 Turbo pr. time</t>
  </si>
  <si>
    <t>Årets samlede investeringer</t>
  </si>
  <si>
    <t>Vedligehold + benzin LS-10</t>
  </si>
  <si>
    <t>Propel</t>
  </si>
  <si>
    <t>Dimona</t>
  </si>
  <si>
    <t>Propeller</t>
  </si>
  <si>
    <t>Udskiftning</t>
  </si>
  <si>
    <t>8,33 MHz radioer</t>
  </si>
  <si>
    <t>Opgørelse af omkostninger ved TMG drift</t>
  </si>
  <si>
    <t>Motorflyvetid 2008</t>
  </si>
  <si>
    <t>t.</t>
  </si>
  <si>
    <t>Svæveflyvetid 2008</t>
  </si>
  <si>
    <t>Investering</t>
  </si>
  <si>
    <t>Motor</t>
  </si>
  <si>
    <t>kr.</t>
  </si>
  <si>
    <t>I alt</t>
  </si>
  <si>
    <t>Afskrivning pr. time</t>
  </si>
  <si>
    <t>Brændstof</t>
  </si>
  <si>
    <t>Alm. flyvning</t>
  </si>
  <si>
    <t>Flyslæb</t>
  </si>
  <si>
    <t>ltr. pr. time</t>
  </si>
  <si>
    <t>ltr. pris</t>
  </si>
  <si>
    <t>Pris pr. time</t>
  </si>
  <si>
    <t>Vedligehold</t>
  </si>
  <si>
    <t>budget</t>
  </si>
  <si>
    <t>Aktuel</t>
  </si>
  <si>
    <t>Kapitalomkostnings bidrag</t>
  </si>
  <si>
    <t>Opsparing</t>
  </si>
  <si>
    <t>Belåning</t>
  </si>
  <si>
    <t>Benzin</t>
  </si>
  <si>
    <t>Afskrivning motor</t>
  </si>
  <si>
    <t>Afskrivning propel</t>
  </si>
  <si>
    <t>kapitalopsparing</t>
  </si>
  <si>
    <t>belåning</t>
  </si>
  <si>
    <t>Driftspris Samlet 2008</t>
  </si>
  <si>
    <t>Gæst</t>
  </si>
  <si>
    <t>Driftspris budget 2009</t>
  </si>
  <si>
    <t>Lakering LS-4</t>
  </si>
  <si>
    <t>Selvstarter brugt (f.eks. DG-400)</t>
  </si>
  <si>
    <t>Selvstarter brugt vogn</t>
  </si>
  <si>
    <t>Selvstarter brugt radio</t>
  </si>
  <si>
    <t>Selvstarter instrumenter</t>
  </si>
  <si>
    <t>Selvstarter nav. Udstyr</t>
  </si>
  <si>
    <t xml:space="preserve">Selvstarter </t>
  </si>
  <si>
    <t>Renovering</t>
  </si>
  <si>
    <t>Computermateriel</t>
  </si>
  <si>
    <t>Værkstedsudstyr</t>
  </si>
  <si>
    <t>Klubhus inventar:</t>
  </si>
  <si>
    <t>2- sædet selvstarter(DG-1000)</t>
  </si>
  <si>
    <t>Wirehenter</t>
  </si>
  <si>
    <t>Startvogn</t>
  </si>
  <si>
    <t>Nyt kontingentsystem fremskrevet budgetteret drift- og balance basis 2009 budget</t>
  </si>
  <si>
    <t>Jordmateriel drift + vedligehold</t>
  </si>
  <si>
    <t>Turbo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</si>
</sst>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.0"/>
    <numFmt numFmtId="165" formatCode="0.0"/>
  </numFmts>
  <fonts count="3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9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3" fontId="0" fillId="0" borderId="1" xfId="0" applyNumberFormat="1" applyBorder="1" applyAlignment="1">
      <alignment/>
    </xf>
    <xf numFmtId="0" fontId="0" fillId="0" borderId="7" xfId="0" applyBorder="1" applyAlignment="1">
      <alignment/>
    </xf>
    <xf numFmtId="3" fontId="0" fillId="0" borderId="2" xfId="0" applyNumberFormat="1" applyBorder="1" applyAlignment="1">
      <alignment/>
    </xf>
    <xf numFmtId="10" fontId="0" fillId="0" borderId="0" xfId="0" applyNumberFormat="1" applyAlignment="1">
      <alignment/>
    </xf>
    <xf numFmtId="0" fontId="1" fillId="0" borderId="7" xfId="0" applyFon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0" xfId="0" applyNumberFormat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C29" sqref="C29"/>
    </sheetView>
  </sheetViews>
  <sheetFormatPr defaultColWidth="9.140625" defaultRowHeight="12.75"/>
  <cols>
    <col min="1" max="1" width="28.8515625" style="0" customWidth="1"/>
  </cols>
  <sheetData>
    <row r="1" spans="1:14" s="26" customFormat="1" ht="18">
      <c r="A1" s="27" t="s">
        <v>279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ht="13.5" thickBot="1"/>
    <row r="3" spans="2:14" ht="13.5" thickBot="1">
      <c r="B3" s="6">
        <v>2008</v>
      </c>
      <c r="C3" s="7">
        <v>2009</v>
      </c>
      <c r="D3" s="7">
        <v>2010</v>
      </c>
      <c r="E3" s="7">
        <v>2011</v>
      </c>
      <c r="F3" s="7">
        <v>2012</v>
      </c>
      <c r="G3" s="7">
        <v>2013</v>
      </c>
      <c r="H3" s="7">
        <v>2014</v>
      </c>
      <c r="I3" s="7">
        <v>2015</v>
      </c>
      <c r="J3" s="7">
        <v>2016</v>
      </c>
      <c r="K3" s="7">
        <v>2017</v>
      </c>
      <c r="L3" s="7">
        <v>2018</v>
      </c>
      <c r="M3" s="7">
        <v>2019</v>
      </c>
      <c r="N3" s="8">
        <v>2020</v>
      </c>
    </row>
    <row r="5" ht="13.5" thickBot="1">
      <c r="A5" s="11" t="s">
        <v>86</v>
      </c>
    </row>
    <row r="6" spans="1:14" ht="12.75">
      <c r="A6" t="s">
        <v>78</v>
      </c>
      <c r="B6" s="10">
        <f>Drift!B32</f>
        <v>448632</v>
      </c>
      <c r="C6" s="10">
        <f>Drift!C32</f>
        <v>296915</v>
      </c>
      <c r="D6" s="10">
        <f>Drift!D32</f>
        <v>305654.44999999995</v>
      </c>
      <c r="E6" s="10">
        <f>Drift!E32</f>
        <v>314656.08349999995</v>
      </c>
      <c r="F6" s="10">
        <f>Drift!F32</f>
        <v>323927.7660050001</v>
      </c>
      <c r="G6" s="10">
        <f>Drift!G32</f>
        <v>333477.59898515</v>
      </c>
      <c r="H6" s="10">
        <f>Drift!H32</f>
        <v>343313.92695470445</v>
      </c>
      <c r="I6" s="10">
        <f>Drift!I32</f>
        <v>353445.3447633456</v>
      </c>
      <c r="J6" s="10">
        <f>Drift!J32</f>
        <v>363880.70510624594</v>
      </c>
      <c r="K6" s="10">
        <f>Drift!K32</f>
        <v>374629.1262594334</v>
      </c>
      <c r="L6" s="10">
        <f>Drift!L32</f>
        <v>385700.00004721637</v>
      </c>
      <c r="M6" s="10">
        <f>Drift!M32</f>
        <v>397103.00004863285</v>
      </c>
      <c r="N6" s="10">
        <f>Drift!N32</f>
        <v>408848.09005009185</v>
      </c>
    </row>
    <row r="7" spans="1:14" ht="12.75">
      <c r="A7" t="s">
        <v>79</v>
      </c>
      <c r="B7" s="10">
        <f>Drift!B117</f>
        <v>84705</v>
      </c>
      <c r="C7" s="10">
        <f>Drift!C117</f>
        <v>151740</v>
      </c>
      <c r="D7" s="10">
        <f>Drift!D117</f>
        <v>156292.19999999998</v>
      </c>
      <c r="E7" s="10">
        <f>Drift!E117</f>
        <v>160980.966</v>
      </c>
      <c r="F7" s="10">
        <f>Drift!F117</f>
        <v>165810.39498</v>
      </c>
      <c r="G7" s="10">
        <f>Drift!G117</f>
        <v>170784.7068294</v>
      </c>
      <c r="H7" s="10">
        <f>Drift!H117</f>
        <v>175908.248034282</v>
      </c>
      <c r="I7" s="10">
        <f>Drift!I117</f>
        <v>181185.49547531048</v>
      </c>
      <c r="J7" s="10">
        <f>Drift!J117</f>
        <v>186621.06033956975</v>
      </c>
      <c r="K7" s="10">
        <f>Drift!K117</f>
        <v>192219.69214975685</v>
      </c>
      <c r="L7" s="10">
        <f>Drift!L117</f>
        <v>197986.28291424958</v>
      </c>
      <c r="M7" s="10">
        <f>Drift!M117</f>
        <v>203925.87140167705</v>
      </c>
      <c r="N7" s="10">
        <f>Drift!N117</f>
        <v>210043.6475437274</v>
      </c>
    </row>
    <row r="8" spans="1:14" ht="12.75">
      <c r="A8" t="s">
        <v>120</v>
      </c>
      <c r="B8" s="10">
        <f>Drift!B120</f>
        <v>20000</v>
      </c>
      <c r="C8" s="10">
        <f>Drift!C120</f>
        <v>0</v>
      </c>
      <c r="D8" s="10">
        <f>Drift!D120</f>
        <v>0</v>
      </c>
      <c r="E8" s="10">
        <f>Drift!E120</f>
        <v>0</v>
      </c>
      <c r="F8" s="10">
        <f>Drift!F120</f>
        <v>0</v>
      </c>
      <c r="G8" s="10">
        <f>Drift!G120</f>
        <v>0</v>
      </c>
      <c r="H8" s="10">
        <f>Drift!H120</f>
        <v>0</v>
      </c>
      <c r="I8" s="10">
        <f>Drift!I120</f>
        <v>0</v>
      </c>
      <c r="J8" s="10">
        <f>Drift!J120</f>
        <v>0</v>
      </c>
      <c r="K8" s="10">
        <f>Drift!K120</f>
        <v>0</v>
      </c>
      <c r="L8" s="10">
        <f>Drift!L120</f>
        <v>0</v>
      </c>
      <c r="M8" s="10">
        <f>Drift!M120</f>
        <v>0</v>
      </c>
      <c r="N8" s="10">
        <f>Drift!N120</f>
        <v>0</v>
      </c>
    </row>
    <row r="9" spans="1:14" ht="12.75">
      <c r="A9" t="s">
        <v>80</v>
      </c>
      <c r="B9" s="10">
        <f>Drift!B119+Drift!B121</f>
        <v>16975</v>
      </c>
      <c r="C9" s="10">
        <f>Drift!B119+Drift!B121</f>
        <v>16975</v>
      </c>
      <c r="D9" s="10">
        <f>Drift!C119+Drift!C121</f>
        <v>9118</v>
      </c>
      <c r="E9" s="10">
        <f>Drift!D119+Drift!D121</f>
        <v>9238</v>
      </c>
      <c r="F9" s="10">
        <f>Drift!E119+Drift!E121</f>
        <v>9361.6</v>
      </c>
      <c r="G9" s="10">
        <f>Drift!F119+Drift!F121</f>
        <v>9488.908</v>
      </c>
      <c r="H9" s="10">
        <f>Drift!G119+Drift!G121</f>
        <v>9620.035240000001</v>
      </c>
      <c r="I9" s="10">
        <f>Drift!H119+Drift!H121</f>
        <v>9755.0962972</v>
      </c>
      <c r="J9" s="10">
        <f>Drift!I119+Drift!I121</f>
        <v>9894.209186116</v>
      </c>
      <c r="K9" s="10">
        <f>Drift!J119+Drift!J121</f>
        <v>10037.49546169948</v>
      </c>
      <c r="L9" s="10">
        <f>Drift!K119+Drift!K121</f>
        <v>10185.080325550465</v>
      </c>
      <c r="M9" s="10">
        <f>Drift!L119+Drift!L121</f>
        <v>10337.092735316979</v>
      </c>
      <c r="N9" s="10">
        <f>Drift!M119+Drift!M121</f>
        <v>10493.665517376488</v>
      </c>
    </row>
    <row r="10" spans="1:14" ht="12.75">
      <c r="A10" t="s">
        <v>81</v>
      </c>
      <c r="B10" s="10">
        <f>Drift!B128</f>
        <v>25000</v>
      </c>
      <c r="C10" s="10">
        <f>Drift!C128</f>
        <v>22800</v>
      </c>
      <c r="D10" s="10">
        <f>Drift!D128</f>
        <v>23484</v>
      </c>
      <c r="E10" s="10">
        <f>Drift!E128</f>
        <v>24188.519999999997</v>
      </c>
      <c r="F10" s="10">
        <f>Drift!F128</f>
        <v>24914.1756</v>
      </c>
      <c r="G10" s="10">
        <f>Drift!G128</f>
        <v>25661.600868</v>
      </c>
      <c r="H10" s="10">
        <f>Drift!H128</f>
        <v>26431.448894039997</v>
      </c>
      <c r="I10" s="10">
        <f>Drift!I128</f>
        <v>27224.392360861202</v>
      </c>
      <c r="J10" s="10">
        <f>Drift!J128</f>
        <v>28041.124131687036</v>
      </c>
      <c r="K10" s="10">
        <f>Drift!K128</f>
        <v>28882.357855637645</v>
      </c>
      <c r="L10" s="10">
        <f>Drift!L128</f>
        <v>29748.828591306778</v>
      </c>
      <c r="M10" s="10">
        <f>Drift!M128</f>
        <v>30641.29344904598</v>
      </c>
      <c r="N10" s="10">
        <f>Drift!N128</f>
        <v>30713.864933530564</v>
      </c>
    </row>
    <row r="11" spans="1:14" ht="12.75">
      <c r="A11" t="s">
        <v>83</v>
      </c>
      <c r="B11" s="10">
        <v>4047</v>
      </c>
      <c r="C11" s="10">
        <f>'Øko. nøgletal'!B36</f>
        <v>4000</v>
      </c>
      <c r="D11" s="10">
        <f>'Øko. nøgletal'!C36</f>
        <v>4120</v>
      </c>
      <c r="E11" s="10">
        <f>'Øko. nøgletal'!D36</f>
        <v>4243.6</v>
      </c>
      <c r="F11" s="10">
        <f>'Øko. nøgletal'!E36</f>
        <v>4370.908</v>
      </c>
      <c r="G11" s="10">
        <f>'Øko. nøgletal'!F36</f>
        <v>4502.03524</v>
      </c>
      <c r="H11" s="10">
        <f>'Øko. nøgletal'!G36</f>
        <v>4637.0962972</v>
      </c>
      <c r="I11" s="10">
        <f>'Øko. nøgletal'!H36</f>
        <v>4776.209186116</v>
      </c>
      <c r="J11" s="10">
        <f>'Øko. nøgletal'!I36</f>
        <v>4919.49546169948</v>
      </c>
      <c r="K11" s="10">
        <f>'Øko. nøgletal'!J36</f>
        <v>5067.080325550464</v>
      </c>
      <c r="L11" s="10">
        <f>'Øko. nøgletal'!K36</f>
        <v>5219.092735316978</v>
      </c>
      <c r="M11" s="10">
        <f>'Øko. nøgletal'!L36</f>
        <v>5375.6655173764875</v>
      </c>
      <c r="N11" s="10">
        <f>'Øko. nøgletal'!M36</f>
        <v>5536.935482897782</v>
      </c>
    </row>
    <row r="12" spans="1:14" ht="13.5" thickBot="1">
      <c r="A12" s="1" t="s">
        <v>82</v>
      </c>
      <c r="B12" s="14">
        <f>Drift!B136</f>
        <v>76867</v>
      </c>
      <c r="C12" s="14">
        <f>Drift!C136</f>
        <v>76240</v>
      </c>
      <c r="D12" s="14">
        <f>Drift!D136</f>
        <v>78527.2</v>
      </c>
      <c r="E12" s="14">
        <f>Drift!E136</f>
        <v>80883.016</v>
      </c>
      <c r="F12" s="14">
        <f>Drift!F136</f>
        <v>83309.50648</v>
      </c>
      <c r="G12" s="14">
        <f>Drift!G136</f>
        <v>85808.7916744</v>
      </c>
      <c r="H12" s="14">
        <f>Drift!H136</f>
        <v>88383.055424632</v>
      </c>
      <c r="I12" s="14">
        <f>Drift!I136</f>
        <v>91034.54708737096</v>
      </c>
      <c r="J12" s="14">
        <f>Drift!J136</f>
        <v>93765.58349999208</v>
      </c>
      <c r="K12" s="14">
        <f>Drift!K136</f>
        <v>96578.55100499185</v>
      </c>
      <c r="L12" s="14">
        <f>Drift!L136</f>
        <v>99475.90753514161</v>
      </c>
      <c r="M12" s="14">
        <f>Drift!M136</f>
        <v>102460.18476119587</v>
      </c>
      <c r="N12" s="14">
        <f>Drift!N136</f>
        <v>105533.99030403174</v>
      </c>
    </row>
    <row r="13" spans="1:14" ht="12.75">
      <c r="A13" s="12" t="s">
        <v>90</v>
      </c>
      <c r="B13" s="20">
        <f>SUM(B6:B12)</f>
        <v>676226</v>
      </c>
      <c r="C13" s="20">
        <f aca="true" t="shared" si="0" ref="C13:N13">SUM(C6:C12)</f>
        <v>568670</v>
      </c>
      <c r="D13" s="20">
        <f t="shared" si="0"/>
        <v>577195.8499999999</v>
      </c>
      <c r="E13" s="20">
        <f t="shared" si="0"/>
        <v>594190.1854999999</v>
      </c>
      <c r="F13" s="20">
        <f t="shared" si="0"/>
        <v>611694.351065</v>
      </c>
      <c r="G13" s="20">
        <f t="shared" si="0"/>
        <v>629723.64159695</v>
      </c>
      <c r="H13" s="20">
        <f t="shared" si="0"/>
        <v>648293.8108448584</v>
      </c>
      <c r="I13" s="20">
        <f t="shared" si="0"/>
        <v>667421.0851702043</v>
      </c>
      <c r="J13" s="20">
        <f t="shared" si="0"/>
        <v>687122.1777253101</v>
      </c>
      <c r="K13" s="20">
        <f t="shared" si="0"/>
        <v>707414.3030570698</v>
      </c>
      <c r="L13" s="20">
        <f t="shared" si="0"/>
        <v>728315.1921487817</v>
      </c>
      <c r="M13" s="20">
        <f t="shared" si="0"/>
        <v>749843.1079132452</v>
      </c>
      <c r="N13" s="20">
        <f t="shared" si="0"/>
        <v>771170.1938316559</v>
      </c>
    </row>
    <row r="14" spans="2:14" ht="12.7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3.5" thickBot="1">
      <c r="A15" s="11" t="s">
        <v>85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2.75">
      <c r="A16" t="s">
        <v>121</v>
      </c>
      <c r="B16" s="10">
        <f>Drift!B147</f>
        <v>96306</v>
      </c>
      <c r="C16" s="10">
        <f>Drift!C147</f>
        <v>134061.15</v>
      </c>
      <c r="D16" s="10">
        <f>Drift!D147</f>
        <v>133812.76929999999</v>
      </c>
      <c r="E16" s="10">
        <f>Drift!E147</f>
        <v>137193.702379</v>
      </c>
      <c r="F16" s="10">
        <f>Drift!F147</f>
        <v>140676.06345036998</v>
      </c>
      <c r="G16" s="10">
        <f>Drift!G147</f>
        <v>144262.8953538811</v>
      </c>
      <c r="H16" s="10">
        <f>Drift!H147</f>
        <v>147957.33221449755</v>
      </c>
      <c r="I16" s="10">
        <f>Drift!I147</f>
        <v>151762.60218093247</v>
      </c>
      <c r="J16" s="10">
        <f>Drift!J147</f>
        <v>155682.0302463604</v>
      </c>
      <c r="K16" s="10">
        <f>Drift!K147</f>
        <v>159719.04115375126</v>
      </c>
      <c r="L16" s="10">
        <f>Drift!L147</f>
        <v>163877.1623883638</v>
      </c>
      <c r="M16" s="10">
        <f>Drift!M147</f>
        <v>168160.02726001473</v>
      </c>
      <c r="N16" s="10">
        <f>Drift!N147</f>
        <v>172571.37807781517</v>
      </c>
    </row>
    <row r="17" spans="1:14" ht="12.75">
      <c r="A17" t="s">
        <v>122</v>
      </c>
      <c r="B17" s="10">
        <f>Drift!B159</f>
        <v>132192</v>
      </c>
      <c r="C17" s="10">
        <f>Drift!C159</f>
        <v>89838.7365</v>
      </c>
      <c r="D17" s="10">
        <f>Drift!D159</f>
        <v>88806.8848</v>
      </c>
      <c r="E17" s="10">
        <f>Drift!E159</f>
        <v>90433.827549</v>
      </c>
      <c r="F17" s="10">
        <f>Drift!F159</f>
        <v>97104.82858047</v>
      </c>
      <c r="G17" s="10">
        <f>Drift!G159</f>
        <v>96100.15964288411</v>
      </c>
      <c r="H17" s="10">
        <f>Drift!H159</f>
        <v>95105.10063717063</v>
      </c>
      <c r="I17" s="10">
        <f>Drift!I159</f>
        <v>94119.93986128573</v>
      </c>
      <c r="J17" s="10">
        <f>Drift!J159</f>
        <v>93144.97426212433</v>
      </c>
      <c r="K17" s="10">
        <f>Drift!K159</f>
        <v>92180.50969498802</v>
      </c>
      <c r="L17" s="10">
        <f>Drift!L159</f>
        <v>91226.86119083766</v>
      </c>
      <c r="M17" s="10">
        <f>Drift!M159</f>
        <v>90284.35323156283</v>
      </c>
      <c r="N17" s="10">
        <f>Drift!N159</f>
        <v>118503.3200335097</v>
      </c>
    </row>
    <row r="18" spans="1:14" ht="12.75">
      <c r="A18" t="s">
        <v>169</v>
      </c>
      <c r="B18" s="10">
        <f>Drift!B169</f>
        <v>136142</v>
      </c>
      <c r="C18" s="10">
        <f>Drift!C169</f>
        <v>140226.26</v>
      </c>
      <c r="D18" s="10">
        <f>Drift!D169</f>
        <v>144433.0478</v>
      </c>
      <c r="E18" s="10">
        <f>Drift!E169</f>
        <v>148766.039234</v>
      </c>
      <c r="F18" s="10">
        <f>Drift!F169</f>
        <v>153229.02041102</v>
      </c>
      <c r="G18" s="10">
        <f>Drift!G169</f>
        <v>157825.8910233506</v>
      </c>
      <c r="H18" s="10">
        <f>Drift!H169</f>
        <v>162560.6677540511</v>
      </c>
      <c r="I18" s="10">
        <f>Drift!I169</f>
        <v>167437.4877866726</v>
      </c>
      <c r="J18" s="10">
        <f>Drift!J169</f>
        <v>172460.61242027284</v>
      </c>
      <c r="K18" s="10">
        <f>Drift!K169</f>
        <v>177634.43079288103</v>
      </c>
      <c r="L18" s="10">
        <f>Drift!L169</f>
        <v>182963.46371666744</v>
      </c>
      <c r="M18" s="10">
        <f>Drift!M169</f>
        <v>188452.36762816747</v>
      </c>
      <c r="N18" s="10">
        <f>Drift!N169</f>
        <v>194105.9386570125</v>
      </c>
    </row>
    <row r="19" spans="1:14" ht="12.75">
      <c r="A19" t="s">
        <v>124</v>
      </c>
      <c r="B19" s="10">
        <f>Drift!B177</f>
        <v>11701</v>
      </c>
      <c r="C19" s="10">
        <f>Drift!C177</f>
        <v>22137.25</v>
      </c>
      <c r="D19" s="10">
        <f>Drift!D177</f>
        <v>25125.0475</v>
      </c>
      <c r="E19" s="10">
        <f>Drift!E177</f>
        <v>23485.408525</v>
      </c>
      <c r="F19" s="10">
        <f>Drift!F177</f>
        <v>26583.361180750002</v>
      </c>
      <c r="G19" s="10">
        <f>Drift!G177</f>
        <v>24915.6699041725</v>
      </c>
      <c r="H19" s="10">
        <f>Drift!H177</f>
        <v>28128.332113297678</v>
      </c>
      <c r="I19" s="10">
        <f>Drift!I177</f>
        <v>26433.034201336606</v>
      </c>
      <c r="J19" s="10">
        <f>Drift!J177</f>
        <v>29765.173102736706</v>
      </c>
      <c r="K19" s="10">
        <f>Drift!K177</f>
        <v>28042.805984198007</v>
      </c>
      <c r="L19" s="10">
        <f>Drift!L177</f>
        <v>31499.412475344743</v>
      </c>
      <c r="M19" s="10">
        <f>Drift!M177</f>
        <v>29750.612868635664</v>
      </c>
      <c r="N19" s="10">
        <f>Drift!N177</f>
        <v>33336.913235664164</v>
      </c>
    </row>
    <row r="20" spans="1:14" ht="12.75">
      <c r="A20" t="s">
        <v>89</v>
      </c>
      <c r="B20" s="10">
        <f>Drift!B179</f>
        <v>24065</v>
      </c>
      <c r="C20" s="10">
        <f>Drift!C179</f>
        <v>23000</v>
      </c>
      <c r="D20" s="10">
        <f>Drift!D179</f>
        <v>23690</v>
      </c>
      <c r="E20" s="10">
        <f>Drift!E179</f>
        <v>24400.7</v>
      </c>
      <c r="F20" s="10">
        <f>Drift!F179</f>
        <v>25132.721</v>
      </c>
      <c r="G20" s="10">
        <f>Drift!G179</f>
        <v>25886.70263</v>
      </c>
      <c r="H20" s="10">
        <f>Drift!H179</f>
        <v>26663.3037089</v>
      </c>
      <c r="I20" s="10">
        <f>Drift!I179</f>
        <v>27463.202820167</v>
      </c>
      <c r="J20" s="10">
        <f>Drift!J179</f>
        <v>28287.09890477201</v>
      </c>
      <c r="K20" s="10">
        <f>Drift!K179</f>
        <v>29135.71187191517</v>
      </c>
      <c r="L20" s="10">
        <f>Drift!L179</f>
        <v>30009.783228072625</v>
      </c>
      <c r="M20" s="10">
        <f>Drift!M179</f>
        <v>30910.076724914805</v>
      </c>
      <c r="N20" s="10">
        <f>Drift!N179</f>
        <v>31837.37902666225</v>
      </c>
    </row>
    <row r="21" spans="1:14" ht="13.5" thickBot="1">
      <c r="A21" s="1" t="s">
        <v>182</v>
      </c>
      <c r="B21" s="14">
        <f>Drift!B189</f>
        <v>142237</v>
      </c>
      <c r="C21" s="14">
        <f>Drift!C189</f>
        <v>49000</v>
      </c>
      <c r="D21" s="14">
        <f>Drift!D189</f>
        <v>50470</v>
      </c>
      <c r="E21" s="14">
        <f>Drift!E189</f>
        <v>51984.1</v>
      </c>
      <c r="F21" s="14">
        <f>Drift!F189</f>
        <v>53543.62299999999</v>
      </c>
      <c r="G21" s="14">
        <f>Drift!G189</f>
        <v>55149.93169</v>
      </c>
      <c r="H21" s="14">
        <f>Drift!H189</f>
        <v>56804.42964069999</v>
      </c>
      <c r="I21" s="14">
        <f>Drift!I189</f>
        <v>58508.56252992099</v>
      </c>
      <c r="J21" s="14">
        <f>Drift!J189</f>
        <v>60263.81940581862</v>
      </c>
      <c r="K21" s="14">
        <f>Drift!K189</f>
        <v>62071.73398799319</v>
      </c>
      <c r="L21" s="14">
        <f>Drift!L189</f>
        <v>63933.88600763297</v>
      </c>
      <c r="M21" s="14">
        <f>Drift!M189</f>
        <v>65851.90258786197</v>
      </c>
      <c r="N21" s="14">
        <f>Drift!N189</f>
        <v>67827.45966549784</v>
      </c>
    </row>
    <row r="22" spans="1:14" ht="12.75">
      <c r="A22" s="9" t="s">
        <v>91</v>
      </c>
      <c r="B22" s="10">
        <f>SUM(B16:B21)</f>
        <v>542643</v>
      </c>
      <c r="C22" s="10">
        <f aca="true" t="shared" si="1" ref="C22:N22">SUM(C16:C21)</f>
        <v>458263.39650000003</v>
      </c>
      <c r="D22" s="10">
        <f t="shared" si="1"/>
        <v>466337.7494</v>
      </c>
      <c r="E22" s="10">
        <f t="shared" si="1"/>
        <v>476263.77768699994</v>
      </c>
      <c r="F22" s="10">
        <f t="shared" si="1"/>
        <v>496269.61762260995</v>
      </c>
      <c r="G22" s="10">
        <f t="shared" si="1"/>
        <v>504141.2502442883</v>
      </c>
      <c r="H22" s="10">
        <f t="shared" si="1"/>
        <v>517219.1660686169</v>
      </c>
      <c r="I22" s="10">
        <f t="shared" si="1"/>
        <v>525724.8293803154</v>
      </c>
      <c r="J22" s="10">
        <f t="shared" si="1"/>
        <v>539603.7083420849</v>
      </c>
      <c r="K22" s="10">
        <f t="shared" si="1"/>
        <v>548784.2334857266</v>
      </c>
      <c r="L22" s="10">
        <f t="shared" si="1"/>
        <v>563510.5690069193</v>
      </c>
      <c r="M22" s="10">
        <f t="shared" si="1"/>
        <v>573409.3403011576</v>
      </c>
      <c r="N22" s="10">
        <f t="shared" si="1"/>
        <v>618182.3886961616</v>
      </c>
    </row>
    <row r="23" spans="1:14" ht="12.75">
      <c r="A23" t="s">
        <v>92</v>
      </c>
      <c r="B23" s="10">
        <f>B13-B22</f>
        <v>133583</v>
      </c>
      <c r="C23" s="10">
        <f aca="true" t="shared" si="2" ref="C23:N23">C13-C22</f>
        <v>110406.60349999997</v>
      </c>
      <c r="D23" s="10">
        <f t="shared" si="2"/>
        <v>110858.10059999989</v>
      </c>
      <c r="E23" s="10">
        <f t="shared" si="2"/>
        <v>117926.40781299997</v>
      </c>
      <c r="F23" s="10">
        <f t="shared" si="2"/>
        <v>115424.7334423901</v>
      </c>
      <c r="G23" s="10">
        <f t="shared" si="2"/>
        <v>125582.39135266171</v>
      </c>
      <c r="H23" s="10">
        <f t="shared" si="2"/>
        <v>131074.6447762415</v>
      </c>
      <c r="I23" s="10">
        <f t="shared" si="2"/>
        <v>141696.2557898889</v>
      </c>
      <c r="J23" s="10">
        <f t="shared" si="2"/>
        <v>147518.4693832252</v>
      </c>
      <c r="K23" s="10">
        <f t="shared" si="2"/>
        <v>158630.06957134313</v>
      </c>
      <c r="L23" s="10">
        <f t="shared" si="2"/>
        <v>164804.62314186245</v>
      </c>
      <c r="M23" s="10">
        <f t="shared" si="2"/>
        <v>176433.76761208766</v>
      </c>
      <c r="N23" s="10">
        <f t="shared" si="2"/>
        <v>152987.80513549433</v>
      </c>
    </row>
    <row r="24" spans="2:14" ht="12.7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2.75">
      <c r="A25" t="s">
        <v>93</v>
      </c>
      <c r="B25" s="10">
        <f>Drift!B191</f>
        <v>445</v>
      </c>
      <c r="C25" s="10">
        <f>Drift!C191</f>
        <v>7912.53</v>
      </c>
      <c r="D25" s="10">
        <f>Drift!D191</f>
        <v>6812.104004999999</v>
      </c>
      <c r="E25" s="10">
        <f>Drift!E191</f>
        <v>9892.210143149996</v>
      </c>
      <c r="F25" s="10">
        <f>Drift!F191</f>
        <v>8476.768681834496</v>
      </c>
      <c r="G25" s="10">
        <f>Drift!G191</f>
        <v>-7756.186254438766</v>
      </c>
      <c r="H25" s="10">
        <f>Drift!H191</f>
        <v>-7371.400101492078</v>
      </c>
      <c r="I25" s="10">
        <f>Drift!I191</f>
        <v>-6660.302761249595</v>
      </c>
      <c r="J25" s="10">
        <f>Drift!J191</f>
        <v>-3059.2241703904156</v>
      </c>
      <c r="K25" s="10">
        <f>Drift!K191</f>
        <v>-1725.446814005374</v>
      </c>
      <c r="L25" s="10">
        <f>Drift!L191</f>
        <v>2231.6918687147586</v>
      </c>
      <c r="M25" s="10">
        <f>Drift!M191</f>
        <v>6792.781319032075</v>
      </c>
      <c r="N25" s="10">
        <f>Drift!N191</f>
        <v>7489.577786965667</v>
      </c>
    </row>
    <row r="26" spans="1:14" ht="13.5" thickBot="1">
      <c r="A26" s="1" t="s">
        <v>94</v>
      </c>
      <c r="B26" s="14">
        <f>Drift!B192</f>
        <v>635</v>
      </c>
      <c r="C26" s="14">
        <f>Drift!C192</f>
        <v>0</v>
      </c>
      <c r="D26" s="14">
        <f>Drift!D192</f>
        <v>0</v>
      </c>
      <c r="E26" s="14">
        <f>Drift!E192</f>
        <v>0</v>
      </c>
      <c r="F26" s="14">
        <f>Drift!F192</f>
        <v>0</v>
      </c>
      <c r="G26" s="14">
        <f>Drift!G192</f>
        <v>0</v>
      </c>
      <c r="H26" s="14">
        <f>Drift!H192</f>
        <v>0</v>
      </c>
      <c r="I26" s="14">
        <f>Drift!I192</f>
        <v>0</v>
      </c>
      <c r="J26" s="14">
        <f>Drift!J192</f>
        <v>0</v>
      </c>
      <c r="K26" s="14">
        <f>Drift!K192</f>
        <v>0</v>
      </c>
      <c r="L26" s="14">
        <f>Drift!L192</f>
        <v>0</v>
      </c>
      <c r="M26" s="14">
        <f>Drift!M192</f>
        <v>0</v>
      </c>
      <c r="N26" s="14">
        <f>Drift!N192</f>
        <v>0</v>
      </c>
    </row>
    <row r="27" spans="1:14" ht="12.75">
      <c r="A27" t="s">
        <v>95</v>
      </c>
      <c r="B27" s="10">
        <f>B23+B25-B26</f>
        <v>133393</v>
      </c>
      <c r="C27" s="10">
        <f aca="true" t="shared" si="3" ref="C27:N27">C23+C25-C26</f>
        <v>118319.13349999997</v>
      </c>
      <c r="D27" s="10">
        <f t="shared" si="3"/>
        <v>117670.20460499989</v>
      </c>
      <c r="E27" s="10">
        <f t="shared" si="3"/>
        <v>127818.61795614996</v>
      </c>
      <c r="F27" s="10">
        <f t="shared" si="3"/>
        <v>123901.5021242246</v>
      </c>
      <c r="G27" s="10">
        <f t="shared" si="3"/>
        <v>117826.20509822294</v>
      </c>
      <c r="H27" s="10">
        <f t="shared" si="3"/>
        <v>123703.24467474943</v>
      </c>
      <c r="I27" s="10">
        <f t="shared" si="3"/>
        <v>135035.9530286393</v>
      </c>
      <c r="J27" s="10">
        <f t="shared" si="3"/>
        <v>144459.24521283476</v>
      </c>
      <c r="K27" s="10">
        <f t="shared" si="3"/>
        <v>156904.62275733775</v>
      </c>
      <c r="L27" s="10">
        <f t="shared" si="3"/>
        <v>167036.3150105772</v>
      </c>
      <c r="M27" s="10">
        <f t="shared" si="3"/>
        <v>183226.54893111973</v>
      </c>
      <c r="N27" s="10">
        <f t="shared" si="3"/>
        <v>160477.38292246</v>
      </c>
    </row>
    <row r="28" spans="2:14" ht="12.7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ht="13.5" thickBot="1">
      <c r="A29" s="1" t="s">
        <v>96</v>
      </c>
      <c r="B29" s="14">
        <v>113503</v>
      </c>
      <c r="C29" s="14">
        <f>Afskrivninger!B104</f>
        <v>145402.3333333333</v>
      </c>
      <c r="D29" s="14">
        <f>Afskrivninger!C104</f>
        <v>180978.75333333333</v>
      </c>
      <c r="E29" s="14">
        <f>Afskrivninger!D104</f>
        <v>177718.7103333333</v>
      </c>
      <c r="F29" s="14">
        <f>Afskrivninger!E104</f>
        <v>180947.67378333333</v>
      </c>
      <c r="G29" s="14">
        <f>Afskrivninger!F104</f>
        <v>173192.29271583332</v>
      </c>
      <c r="H29" s="14">
        <f>Afskrivninger!G104</f>
        <v>174850.2188084583</v>
      </c>
      <c r="I29" s="14">
        <f>Afskrivninger!H104</f>
        <v>163509.45598718955</v>
      </c>
      <c r="J29" s="14">
        <f>Afskrivninger!I104</f>
        <v>151619.80758911115</v>
      </c>
      <c r="K29" s="14">
        <f>Afskrivninger!J104</f>
        <v>145263.60645074444</v>
      </c>
      <c r="L29" s="14">
        <f>Afskrivninger!K104</f>
        <v>138360.8354831328</v>
      </c>
      <c r="M29" s="14">
        <f>Afskrivninger!L104</f>
        <v>143743.48016066288</v>
      </c>
      <c r="N29" s="14">
        <f>Afskrivninger!M104</f>
        <v>185068.72813656344</v>
      </c>
    </row>
    <row r="30" spans="1:14" ht="12.75">
      <c r="A30" t="s">
        <v>97</v>
      </c>
      <c r="B30" s="10">
        <f>B27-B29</f>
        <v>19890</v>
      </c>
      <c r="C30" s="10">
        <f aca="true" t="shared" si="4" ref="C30:N30">C27-C29</f>
        <v>-27083.199833333347</v>
      </c>
      <c r="D30" s="10">
        <f t="shared" si="4"/>
        <v>-63308.54872833344</v>
      </c>
      <c r="E30" s="10">
        <f t="shared" si="4"/>
        <v>-49900.09237718333</v>
      </c>
      <c r="F30" s="10">
        <f t="shared" si="4"/>
        <v>-57046.17165910873</v>
      </c>
      <c r="G30" s="10">
        <f t="shared" si="4"/>
        <v>-55366.08761761038</v>
      </c>
      <c r="H30" s="10">
        <f t="shared" si="4"/>
        <v>-51146.97413370888</v>
      </c>
      <c r="I30" s="10">
        <f t="shared" si="4"/>
        <v>-28473.502958550234</v>
      </c>
      <c r="J30" s="10">
        <f t="shared" si="4"/>
        <v>-7160.562376276386</v>
      </c>
      <c r="K30" s="10">
        <f t="shared" si="4"/>
        <v>11641.016306593316</v>
      </c>
      <c r="L30" s="10">
        <f t="shared" si="4"/>
        <v>28675.479527444404</v>
      </c>
      <c r="M30" s="10">
        <f t="shared" si="4"/>
        <v>39483.068770456855</v>
      </c>
      <c r="N30" s="10">
        <f t="shared" si="4"/>
        <v>-24591.345214103436</v>
      </c>
    </row>
    <row r="31" spans="1:14" ht="12.75">
      <c r="A31" t="s">
        <v>98</v>
      </c>
      <c r="B31" s="10">
        <v>2431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2.75">
      <c r="A32" t="s">
        <v>99</v>
      </c>
      <c r="B32" s="10">
        <v>6916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ht="12.75">
      <c r="A33" t="s">
        <v>100</v>
      </c>
      <c r="B33" s="10">
        <v>14100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ht="13.5" thickBot="1">
      <c r="A34" s="1" t="s">
        <v>101</v>
      </c>
      <c r="B34" s="14">
        <v>0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13.5" thickBot="1">
      <c r="A35" s="13" t="s">
        <v>102</v>
      </c>
      <c r="B35" s="21">
        <f>B30+B31-B32+B33-B34</f>
        <v>29505</v>
      </c>
      <c r="C35" s="21">
        <f aca="true" t="shared" si="5" ref="C35:N35">C30+C31-C32+C33-C34</f>
        <v>-27083.199833333347</v>
      </c>
      <c r="D35" s="21">
        <f t="shared" si="5"/>
        <v>-63308.54872833344</v>
      </c>
      <c r="E35" s="21">
        <f t="shared" si="5"/>
        <v>-49900.09237718333</v>
      </c>
      <c r="F35" s="21">
        <f t="shared" si="5"/>
        <v>-57046.17165910873</v>
      </c>
      <c r="G35" s="21">
        <f t="shared" si="5"/>
        <v>-55366.08761761038</v>
      </c>
      <c r="H35" s="21">
        <f t="shared" si="5"/>
        <v>-51146.97413370888</v>
      </c>
      <c r="I35" s="21">
        <f t="shared" si="5"/>
        <v>-28473.502958550234</v>
      </c>
      <c r="J35" s="21">
        <f t="shared" si="5"/>
        <v>-7160.562376276386</v>
      </c>
      <c r="K35" s="21">
        <f t="shared" si="5"/>
        <v>11641.016306593316</v>
      </c>
      <c r="L35" s="21">
        <f t="shared" si="5"/>
        <v>28675.479527444404</v>
      </c>
      <c r="M35" s="21">
        <f t="shared" si="5"/>
        <v>39483.068770456855</v>
      </c>
      <c r="N35" s="21">
        <f t="shared" si="5"/>
        <v>-24591.345214103436</v>
      </c>
    </row>
    <row r="36" ht="13.5" thickTop="1"/>
  </sheetData>
  <mergeCells count="1">
    <mergeCell ref="A1:N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26"/>
  <sheetViews>
    <sheetView workbookViewId="0" topLeftCell="A86">
      <selection activeCell="B128" sqref="B128"/>
    </sheetView>
  </sheetViews>
  <sheetFormatPr defaultColWidth="9.140625" defaultRowHeight="12.75"/>
  <cols>
    <col min="1" max="1" width="24.00390625" style="0" customWidth="1"/>
  </cols>
  <sheetData>
    <row r="1" ht="13.5" thickBot="1">
      <c r="A1" s="1" t="s">
        <v>76</v>
      </c>
    </row>
    <row r="2" ht="13.5" thickBot="1"/>
    <row r="3" spans="2:13" ht="13.5" thickBot="1">
      <c r="B3" s="6">
        <v>2009</v>
      </c>
      <c r="C3" s="7">
        <v>2010</v>
      </c>
      <c r="D3" s="7">
        <v>2011</v>
      </c>
      <c r="E3" s="7">
        <v>2012</v>
      </c>
      <c r="F3" s="7">
        <v>2013</v>
      </c>
      <c r="G3" s="7">
        <v>2014</v>
      </c>
      <c r="H3" s="7">
        <v>2015</v>
      </c>
      <c r="I3" s="7">
        <v>2016</v>
      </c>
      <c r="J3" s="7">
        <v>2017</v>
      </c>
      <c r="K3" s="7">
        <v>2018</v>
      </c>
      <c r="L3" s="7">
        <v>2019</v>
      </c>
      <c r="M3" s="8">
        <v>2020</v>
      </c>
    </row>
    <row r="4" ht="13.5" thickBot="1">
      <c r="A4" s="1" t="s">
        <v>53</v>
      </c>
    </row>
    <row r="5" spans="1:2" ht="12.75">
      <c r="A5" t="s">
        <v>16</v>
      </c>
      <c r="B5">
        <v>67500</v>
      </c>
    </row>
    <row r="6" spans="1:2" ht="12.75">
      <c r="A6" t="s">
        <v>223</v>
      </c>
      <c r="B6">
        <v>131500</v>
      </c>
    </row>
    <row r="7" spans="1:2" ht="12.75">
      <c r="A7" t="s">
        <v>24</v>
      </c>
      <c r="B7">
        <v>375000</v>
      </c>
    </row>
    <row r="10" spans="1:13" ht="13.5" thickBot="1">
      <c r="A10" t="s">
        <v>77</v>
      </c>
      <c r="B10" s="5">
        <f>SUM(B5:B9)</f>
        <v>574000</v>
      </c>
      <c r="C10" s="5">
        <f aca="true" t="shared" si="0" ref="C10:M10">SUM(C5:C9)</f>
        <v>0</v>
      </c>
      <c r="D10" s="5">
        <f t="shared" si="0"/>
        <v>0</v>
      </c>
      <c r="E10" s="5">
        <f t="shared" si="0"/>
        <v>0</v>
      </c>
      <c r="F10" s="5">
        <f t="shared" si="0"/>
        <v>0</v>
      </c>
      <c r="G10" s="5">
        <f t="shared" si="0"/>
        <v>0</v>
      </c>
      <c r="H10" s="5">
        <f t="shared" si="0"/>
        <v>0</v>
      </c>
      <c r="I10" s="5">
        <f t="shared" si="0"/>
        <v>0</v>
      </c>
      <c r="J10" s="5">
        <f t="shared" si="0"/>
        <v>0</v>
      </c>
      <c r="K10" s="5">
        <f t="shared" si="0"/>
        <v>0</v>
      </c>
      <c r="L10" s="5">
        <f t="shared" si="0"/>
        <v>0</v>
      </c>
      <c r="M10" s="5">
        <f t="shared" si="0"/>
        <v>0</v>
      </c>
    </row>
    <row r="11" ht="13.5" thickTop="1"/>
    <row r="12" ht="13.5" thickBot="1">
      <c r="A12" s="1" t="s">
        <v>54</v>
      </c>
    </row>
    <row r="13" spans="1:2" ht="12.75">
      <c r="A13" t="s">
        <v>16</v>
      </c>
      <c r="B13">
        <v>20000</v>
      </c>
    </row>
    <row r="14" spans="1:2" ht="12.75">
      <c r="A14" t="s">
        <v>24</v>
      </c>
      <c r="B14">
        <v>50000</v>
      </c>
    </row>
    <row r="18" spans="1:13" ht="13.5" thickBot="1">
      <c r="A18" t="s">
        <v>77</v>
      </c>
      <c r="B18" s="5">
        <f>SUM(B13:B17)</f>
        <v>70000</v>
      </c>
      <c r="C18" s="5">
        <f aca="true" t="shared" si="1" ref="C18:M18">SUM(C13:C17)</f>
        <v>0</v>
      </c>
      <c r="D18" s="5">
        <f t="shared" si="1"/>
        <v>0</v>
      </c>
      <c r="E18" s="5">
        <f t="shared" si="1"/>
        <v>0</v>
      </c>
      <c r="F18" s="5">
        <f t="shared" si="1"/>
        <v>0</v>
      </c>
      <c r="G18" s="5">
        <f t="shared" si="1"/>
        <v>0</v>
      </c>
      <c r="H18" s="5">
        <f t="shared" si="1"/>
        <v>0</v>
      </c>
      <c r="I18" s="5">
        <f t="shared" si="1"/>
        <v>0</v>
      </c>
      <c r="J18" s="5">
        <f t="shared" si="1"/>
        <v>0</v>
      </c>
      <c r="K18" s="5">
        <f t="shared" si="1"/>
        <v>0</v>
      </c>
      <c r="L18" s="5">
        <f t="shared" si="1"/>
        <v>0</v>
      </c>
      <c r="M18" s="5">
        <f t="shared" si="1"/>
        <v>0</v>
      </c>
    </row>
    <row r="19" ht="13.5" thickTop="1"/>
    <row r="20" ht="13.5" thickBot="1">
      <c r="A20" s="1" t="s">
        <v>58</v>
      </c>
    </row>
    <row r="21" spans="1:2" ht="12.75">
      <c r="A21" t="s">
        <v>16</v>
      </c>
      <c r="B21">
        <v>2500</v>
      </c>
    </row>
    <row r="22" spans="1:2" ht="12.75">
      <c r="A22" t="s">
        <v>223</v>
      </c>
      <c r="B22">
        <v>2500</v>
      </c>
    </row>
    <row r="23" spans="1:2" ht="12.75">
      <c r="A23" t="s">
        <v>24</v>
      </c>
      <c r="B23">
        <v>3000</v>
      </c>
    </row>
    <row r="26" spans="1:13" ht="13.5" thickBot="1">
      <c r="A26" t="s">
        <v>77</v>
      </c>
      <c r="B26" s="5">
        <f>SUM(B21:B25)</f>
        <v>8000</v>
      </c>
      <c r="C26" s="5">
        <f aca="true" t="shared" si="2" ref="C26:M26">SUM(C21:C25)</f>
        <v>0</v>
      </c>
      <c r="D26" s="5">
        <f t="shared" si="2"/>
        <v>0</v>
      </c>
      <c r="E26" s="5">
        <f t="shared" si="2"/>
        <v>0</v>
      </c>
      <c r="F26" s="5">
        <f t="shared" si="2"/>
        <v>0</v>
      </c>
      <c r="G26" s="5">
        <f t="shared" si="2"/>
        <v>0</v>
      </c>
      <c r="H26" s="5">
        <f t="shared" si="2"/>
        <v>0</v>
      </c>
      <c r="I26" s="5">
        <f t="shared" si="2"/>
        <v>0</v>
      </c>
      <c r="J26" s="5">
        <f t="shared" si="2"/>
        <v>0</v>
      </c>
      <c r="K26" s="5">
        <f t="shared" si="2"/>
        <v>0</v>
      </c>
      <c r="L26" s="5">
        <f t="shared" si="2"/>
        <v>0</v>
      </c>
      <c r="M26" s="5">
        <f t="shared" si="2"/>
        <v>0</v>
      </c>
    </row>
    <row r="27" ht="14.25" thickBot="1" thickTop="1"/>
    <row r="28" spans="2:13" ht="13.5" thickBot="1">
      <c r="B28" s="6">
        <v>2009</v>
      </c>
      <c r="C28" s="7">
        <v>2010</v>
      </c>
      <c r="D28" s="7">
        <v>2011</v>
      </c>
      <c r="E28" s="7">
        <v>2012</v>
      </c>
      <c r="F28" s="7">
        <v>2013</v>
      </c>
      <c r="G28" s="7">
        <v>2014</v>
      </c>
      <c r="H28" s="7">
        <v>2015</v>
      </c>
      <c r="I28" s="7">
        <v>2016</v>
      </c>
      <c r="J28" s="7">
        <v>2017</v>
      </c>
      <c r="K28" s="7">
        <v>2018</v>
      </c>
      <c r="L28" s="7">
        <v>2019</v>
      </c>
      <c r="M28" s="8">
        <v>2020</v>
      </c>
    </row>
    <row r="30" ht="13.5" thickBot="1">
      <c r="A30" s="1" t="s">
        <v>60</v>
      </c>
    </row>
    <row r="31" spans="1:2" ht="12.75">
      <c r="A31" t="s">
        <v>16</v>
      </c>
      <c r="B31">
        <v>4000</v>
      </c>
    </row>
    <row r="32" spans="1:2" ht="12.75">
      <c r="A32" t="s">
        <v>24</v>
      </c>
      <c r="B32">
        <v>6000</v>
      </c>
    </row>
    <row r="36" spans="1:13" ht="13.5" thickBot="1">
      <c r="A36" t="s">
        <v>77</v>
      </c>
      <c r="B36" s="5">
        <f>SUM(B31:B35)</f>
        <v>10000</v>
      </c>
      <c r="C36" s="5">
        <f aca="true" t="shared" si="3" ref="C36:M36">SUM(C31:C35)</f>
        <v>0</v>
      </c>
      <c r="D36" s="5">
        <f t="shared" si="3"/>
        <v>0</v>
      </c>
      <c r="E36" s="5">
        <f t="shared" si="3"/>
        <v>0</v>
      </c>
      <c r="F36" s="5">
        <f t="shared" si="3"/>
        <v>0</v>
      </c>
      <c r="G36" s="5">
        <f t="shared" si="3"/>
        <v>0</v>
      </c>
      <c r="H36" s="5">
        <f t="shared" si="3"/>
        <v>0</v>
      </c>
      <c r="I36" s="5">
        <f t="shared" si="3"/>
        <v>0</v>
      </c>
      <c r="J36" s="5">
        <f t="shared" si="3"/>
        <v>0</v>
      </c>
      <c r="K36" s="5">
        <f t="shared" si="3"/>
        <v>0</v>
      </c>
      <c r="L36" s="5">
        <f t="shared" si="3"/>
        <v>0</v>
      </c>
      <c r="M36" s="5">
        <f t="shared" si="3"/>
        <v>0</v>
      </c>
    </row>
    <row r="37" ht="13.5" thickTop="1"/>
    <row r="38" ht="13.5" thickBot="1">
      <c r="A38" s="1" t="s">
        <v>62</v>
      </c>
    </row>
    <row r="39" spans="1:2" ht="12.75">
      <c r="A39" t="s">
        <v>16</v>
      </c>
      <c r="B39">
        <v>3000</v>
      </c>
    </row>
    <row r="40" spans="1:2" ht="12.75">
      <c r="A40" t="s">
        <v>223</v>
      </c>
      <c r="B40">
        <v>3000</v>
      </c>
    </row>
    <row r="41" spans="1:2" ht="12.75">
      <c r="A41" t="s">
        <v>24</v>
      </c>
      <c r="B41">
        <v>8000</v>
      </c>
    </row>
    <row r="44" spans="1:13" ht="13.5" thickBot="1">
      <c r="A44" t="s">
        <v>77</v>
      </c>
      <c r="B44" s="5">
        <f>SUM(B39:B43)</f>
        <v>14000</v>
      </c>
      <c r="C44" s="5">
        <f aca="true" t="shared" si="4" ref="C44:M44">SUM(C39:C43)</f>
        <v>0</v>
      </c>
      <c r="D44" s="5">
        <f t="shared" si="4"/>
        <v>0</v>
      </c>
      <c r="E44" s="5">
        <f t="shared" si="4"/>
        <v>0</v>
      </c>
      <c r="F44" s="5">
        <f t="shared" si="4"/>
        <v>0</v>
      </c>
      <c r="G44" s="5">
        <f t="shared" si="4"/>
        <v>0</v>
      </c>
      <c r="H44" s="5">
        <f t="shared" si="4"/>
        <v>0</v>
      </c>
      <c r="I44" s="5">
        <f t="shared" si="4"/>
        <v>0</v>
      </c>
      <c r="J44" s="5">
        <f t="shared" si="4"/>
        <v>0</v>
      </c>
      <c r="K44" s="5">
        <f t="shared" si="4"/>
        <v>0</v>
      </c>
      <c r="L44" s="5">
        <f t="shared" si="4"/>
        <v>0</v>
      </c>
      <c r="M44" s="5">
        <f t="shared" si="4"/>
        <v>0</v>
      </c>
    </row>
    <row r="45" ht="13.5" thickTop="1"/>
    <row r="46" ht="13.5" thickBot="1">
      <c r="A46" s="1" t="s">
        <v>63</v>
      </c>
    </row>
    <row r="47" spans="1:2" ht="12.75">
      <c r="A47" t="s">
        <v>16</v>
      </c>
      <c r="B47">
        <v>3000</v>
      </c>
    </row>
    <row r="48" spans="1:2" ht="12.75">
      <c r="A48" t="s">
        <v>223</v>
      </c>
      <c r="B48">
        <v>3000</v>
      </c>
    </row>
    <row r="49" spans="1:2" ht="12.75">
      <c r="A49" t="s">
        <v>24</v>
      </c>
      <c r="B49">
        <v>8000</v>
      </c>
    </row>
    <row r="52" spans="1:13" ht="13.5" thickBot="1">
      <c r="A52" t="s">
        <v>77</v>
      </c>
      <c r="B52" s="5">
        <f>SUM(B47:B51)</f>
        <v>14000</v>
      </c>
      <c r="C52" s="5">
        <f aca="true" t="shared" si="5" ref="C52:M52">SUM(C47:C51)</f>
        <v>0</v>
      </c>
      <c r="D52" s="5">
        <f t="shared" si="5"/>
        <v>0</v>
      </c>
      <c r="E52" s="5">
        <f t="shared" si="5"/>
        <v>0</v>
      </c>
      <c r="F52" s="5">
        <f t="shared" si="5"/>
        <v>0</v>
      </c>
      <c r="G52" s="5">
        <f t="shared" si="5"/>
        <v>0</v>
      </c>
      <c r="H52" s="5">
        <f t="shared" si="5"/>
        <v>0</v>
      </c>
      <c r="I52" s="5">
        <f t="shared" si="5"/>
        <v>0</v>
      </c>
      <c r="J52" s="5">
        <f t="shared" si="5"/>
        <v>0</v>
      </c>
      <c r="K52" s="5">
        <f t="shared" si="5"/>
        <v>0</v>
      </c>
      <c r="L52" s="5">
        <f t="shared" si="5"/>
        <v>0</v>
      </c>
      <c r="M52" s="5">
        <f t="shared" si="5"/>
        <v>0</v>
      </c>
    </row>
    <row r="53" ht="13.5" thickTop="1"/>
    <row r="54" ht="13.5" thickBot="1">
      <c r="A54" s="1" t="s">
        <v>66</v>
      </c>
    </row>
    <row r="60" spans="1:13" ht="13.5" thickBot="1">
      <c r="A60" t="s">
        <v>77</v>
      </c>
      <c r="B60" s="5">
        <f>SUM(B55:B59)</f>
        <v>0</v>
      </c>
      <c r="C60" s="5">
        <f aca="true" t="shared" si="6" ref="C60:M60">SUM(C55:C59)</f>
        <v>0</v>
      </c>
      <c r="D60" s="5">
        <f t="shared" si="6"/>
        <v>0</v>
      </c>
      <c r="E60" s="5">
        <f t="shared" si="6"/>
        <v>0</v>
      </c>
      <c r="F60" s="5">
        <f t="shared" si="6"/>
        <v>0</v>
      </c>
      <c r="G60" s="5">
        <f t="shared" si="6"/>
        <v>0</v>
      </c>
      <c r="H60" s="5">
        <f t="shared" si="6"/>
        <v>0</v>
      </c>
      <c r="I60" s="5">
        <f t="shared" si="6"/>
        <v>0</v>
      </c>
      <c r="J60" s="5">
        <f t="shared" si="6"/>
        <v>0</v>
      </c>
      <c r="K60" s="5">
        <f t="shared" si="6"/>
        <v>0</v>
      </c>
      <c r="L60" s="5">
        <f t="shared" si="6"/>
        <v>0</v>
      </c>
      <c r="M60" s="5">
        <f t="shared" si="6"/>
        <v>0</v>
      </c>
    </row>
    <row r="61" ht="14.25" thickBot="1" thickTop="1"/>
    <row r="62" spans="2:13" ht="13.5" thickBot="1">
      <c r="B62" s="6">
        <v>2009</v>
      </c>
      <c r="C62" s="7">
        <v>2010</v>
      </c>
      <c r="D62" s="7">
        <v>2011</v>
      </c>
      <c r="E62" s="7">
        <v>2012</v>
      </c>
      <c r="F62" s="7">
        <v>2013</v>
      </c>
      <c r="G62" s="7">
        <v>2014</v>
      </c>
      <c r="H62" s="7">
        <v>2015</v>
      </c>
      <c r="I62" s="7">
        <v>2016</v>
      </c>
      <c r="J62" s="7">
        <v>2017</v>
      </c>
      <c r="K62" s="7">
        <v>2018</v>
      </c>
      <c r="L62" s="7">
        <v>2019</v>
      </c>
      <c r="M62" s="8">
        <v>2020</v>
      </c>
    </row>
    <row r="64" ht="13.5" thickBot="1">
      <c r="A64" s="1" t="s">
        <v>68</v>
      </c>
    </row>
    <row r="70" spans="1:13" ht="13.5" thickBot="1">
      <c r="A70" t="s">
        <v>77</v>
      </c>
      <c r="B70" s="5">
        <f>SUM(B65:B69)</f>
        <v>0</v>
      </c>
      <c r="C70" s="5">
        <f aca="true" t="shared" si="7" ref="C70:M70">SUM(C65:C69)</f>
        <v>0</v>
      </c>
      <c r="D70" s="5">
        <f t="shared" si="7"/>
        <v>0</v>
      </c>
      <c r="E70" s="5">
        <f t="shared" si="7"/>
        <v>0</v>
      </c>
      <c r="F70" s="5">
        <f t="shared" si="7"/>
        <v>0</v>
      </c>
      <c r="G70" s="5">
        <f t="shared" si="7"/>
        <v>0</v>
      </c>
      <c r="H70" s="5">
        <f t="shared" si="7"/>
        <v>0</v>
      </c>
      <c r="I70" s="5">
        <f t="shared" si="7"/>
        <v>0</v>
      </c>
      <c r="J70" s="5">
        <f t="shared" si="7"/>
        <v>0</v>
      </c>
      <c r="K70" s="5">
        <f t="shared" si="7"/>
        <v>0</v>
      </c>
      <c r="L70" s="5">
        <f t="shared" si="7"/>
        <v>0</v>
      </c>
      <c r="M70" s="5">
        <f t="shared" si="7"/>
        <v>0</v>
      </c>
    </row>
    <row r="71" ht="13.5" thickTop="1"/>
    <row r="72" ht="13.5" thickBot="1">
      <c r="A72" s="1" t="s">
        <v>69</v>
      </c>
    </row>
    <row r="73" ht="12.75">
      <c r="A73" t="s">
        <v>70</v>
      </c>
    </row>
    <row r="78" spans="1:13" ht="13.5" thickBot="1">
      <c r="A78" t="s">
        <v>77</v>
      </c>
      <c r="B78" s="5">
        <f>SUM(B73:B77)</f>
        <v>0</v>
      </c>
      <c r="C78" s="5">
        <f aca="true" t="shared" si="8" ref="C78:M78">SUM(C73:C77)</f>
        <v>0</v>
      </c>
      <c r="D78" s="5">
        <f t="shared" si="8"/>
        <v>0</v>
      </c>
      <c r="E78" s="5">
        <f t="shared" si="8"/>
        <v>0</v>
      </c>
      <c r="F78" s="5">
        <f t="shared" si="8"/>
        <v>0</v>
      </c>
      <c r="G78" s="5">
        <f t="shared" si="8"/>
        <v>0</v>
      </c>
      <c r="H78" s="5">
        <f t="shared" si="8"/>
        <v>0</v>
      </c>
      <c r="I78" s="5">
        <f t="shared" si="8"/>
        <v>0</v>
      </c>
      <c r="J78" s="5">
        <f t="shared" si="8"/>
        <v>0</v>
      </c>
      <c r="K78" s="5">
        <f t="shared" si="8"/>
        <v>0</v>
      </c>
      <c r="L78" s="5">
        <f t="shared" si="8"/>
        <v>0</v>
      </c>
      <c r="M78" s="5">
        <f t="shared" si="8"/>
        <v>0</v>
      </c>
    </row>
    <row r="79" ht="13.5" thickTop="1"/>
    <row r="80" ht="13.5" thickBot="1">
      <c r="A80" s="1" t="s">
        <v>71</v>
      </c>
    </row>
    <row r="85" spans="1:13" ht="13.5" thickBot="1">
      <c r="A85" t="s">
        <v>77</v>
      </c>
      <c r="B85" s="5">
        <f>SUM(B81:B84)</f>
        <v>0</v>
      </c>
      <c r="C85" s="5">
        <f aca="true" t="shared" si="9" ref="C85:M85">SUM(C81:C84)</f>
        <v>0</v>
      </c>
      <c r="D85" s="5">
        <f t="shared" si="9"/>
        <v>0</v>
      </c>
      <c r="E85" s="5">
        <f t="shared" si="9"/>
        <v>0</v>
      </c>
      <c r="F85" s="5">
        <f t="shared" si="9"/>
        <v>0</v>
      </c>
      <c r="G85" s="5">
        <f t="shared" si="9"/>
        <v>0</v>
      </c>
      <c r="H85" s="5">
        <f t="shared" si="9"/>
        <v>0</v>
      </c>
      <c r="I85" s="5">
        <f t="shared" si="9"/>
        <v>0</v>
      </c>
      <c r="J85" s="5">
        <f t="shared" si="9"/>
        <v>0</v>
      </c>
      <c r="K85" s="5">
        <f t="shared" si="9"/>
        <v>0</v>
      </c>
      <c r="L85" s="5">
        <f t="shared" si="9"/>
        <v>0</v>
      </c>
      <c r="M85" s="5">
        <f t="shared" si="9"/>
        <v>0</v>
      </c>
    </row>
    <row r="86" ht="13.5" thickTop="1"/>
    <row r="87" ht="13.5" thickBot="1">
      <c r="A87" s="1" t="s">
        <v>72</v>
      </c>
    </row>
    <row r="93" spans="1:13" ht="13.5" thickBot="1">
      <c r="A93" t="s">
        <v>77</v>
      </c>
      <c r="B93" s="5">
        <f>SUM(B88:B92)</f>
        <v>0</v>
      </c>
      <c r="C93" s="5">
        <f aca="true" t="shared" si="10" ref="C93:M93">SUM(C88:C92)</f>
        <v>0</v>
      </c>
      <c r="D93" s="5">
        <f t="shared" si="10"/>
        <v>0</v>
      </c>
      <c r="E93" s="5">
        <f t="shared" si="10"/>
        <v>0</v>
      </c>
      <c r="F93" s="5">
        <f t="shared" si="10"/>
        <v>0</v>
      </c>
      <c r="G93" s="5">
        <f t="shared" si="10"/>
        <v>0</v>
      </c>
      <c r="H93" s="5">
        <f t="shared" si="10"/>
        <v>0</v>
      </c>
      <c r="I93" s="5">
        <f t="shared" si="10"/>
        <v>0</v>
      </c>
      <c r="J93" s="5">
        <f t="shared" si="10"/>
        <v>0</v>
      </c>
      <c r="K93" s="5">
        <f t="shared" si="10"/>
        <v>0</v>
      </c>
      <c r="L93" s="5">
        <f t="shared" si="10"/>
        <v>0</v>
      </c>
      <c r="M93" s="5">
        <f t="shared" si="10"/>
        <v>0</v>
      </c>
    </row>
    <row r="94" ht="14.25" thickBot="1" thickTop="1"/>
    <row r="95" spans="2:13" ht="13.5" thickBot="1">
      <c r="B95" s="6">
        <v>2009</v>
      </c>
      <c r="C95" s="7">
        <v>2010</v>
      </c>
      <c r="D95" s="7">
        <v>2011</v>
      </c>
      <c r="E95" s="7">
        <v>2012</v>
      </c>
      <c r="F95" s="7">
        <v>2013</v>
      </c>
      <c r="G95" s="7">
        <v>2014</v>
      </c>
      <c r="H95" s="7">
        <v>2015</v>
      </c>
      <c r="I95" s="7">
        <v>2016</v>
      </c>
      <c r="J95" s="7">
        <v>2017</v>
      </c>
      <c r="K95" s="7">
        <v>2018</v>
      </c>
      <c r="L95" s="7">
        <v>2019</v>
      </c>
      <c r="M95" s="8">
        <v>2020</v>
      </c>
    </row>
    <row r="97" ht="13.5" thickBot="1">
      <c r="A97" s="1" t="s">
        <v>74</v>
      </c>
    </row>
    <row r="102" spans="1:13" ht="13.5" thickBot="1">
      <c r="A102" t="s">
        <v>77</v>
      </c>
      <c r="B102" s="5">
        <f>SUM(B98:B101)</f>
        <v>0</v>
      </c>
      <c r="C102" s="5">
        <f aca="true" t="shared" si="11" ref="C102:M102">SUM(C98:C101)</f>
        <v>0</v>
      </c>
      <c r="D102" s="5">
        <f t="shared" si="11"/>
        <v>0</v>
      </c>
      <c r="E102" s="5">
        <f t="shared" si="11"/>
        <v>0</v>
      </c>
      <c r="F102" s="5">
        <f t="shared" si="11"/>
        <v>0</v>
      </c>
      <c r="G102" s="5">
        <f t="shared" si="11"/>
        <v>0</v>
      </c>
      <c r="H102" s="5">
        <f t="shared" si="11"/>
        <v>0</v>
      </c>
      <c r="I102" s="5">
        <f t="shared" si="11"/>
        <v>0</v>
      </c>
      <c r="J102" s="5">
        <f t="shared" si="11"/>
        <v>0</v>
      </c>
      <c r="K102" s="5">
        <f t="shared" si="11"/>
        <v>0</v>
      </c>
      <c r="L102" s="5">
        <f t="shared" si="11"/>
        <v>0</v>
      </c>
      <c r="M102" s="5">
        <f t="shared" si="11"/>
        <v>0</v>
      </c>
    </row>
    <row r="103" ht="13.5" thickTop="1"/>
    <row r="104" ht="13.5" thickBot="1">
      <c r="A104" s="1" t="s">
        <v>75</v>
      </c>
    </row>
    <row r="109" spans="1:13" ht="13.5" thickBot="1">
      <c r="A109" t="s">
        <v>77</v>
      </c>
      <c r="B109" s="5">
        <f>SUM(B105:B108)</f>
        <v>0</v>
      </c>
      <c r="C109" s="5">
        <f aca="true" t="shared" si="12" ref="C109:M109">SUM(C105:C108)</f>
        <v>0</v>
      </c>
      <c r="D109" s="5">
        <f t="shared" si="12"/>
        <v>0</v>
      </c>
      <c r="E109" s="5">
        <f t="shared" si="12"/>
        <v>0</v>
      </c>
      <c r="F109" s="5">
        <f t="shared" si="12"/>
        <v>0</v>
      </c>
      <c r="G109" s="5">
        <f t="shared" si="12"/>
        <v>0</v>
      </c>
      <c r="H109" s="5">
        <f t="shared" si="12"/>
        <v>0</v>
      </c>
      <c r="I109" s="5">
        <f t="shared" si="12"/>
        <v>0</v>
      </c>
      <c r="J109" s="5">
        <f t="shared" si="12"/>
        <v>0</v>
      </c>
      <c r="K109" s="5">
        <f t="shared" si="12"/>
        <v>0</v>
      </c>
      <c r="L109" s="5">
        <f t="shared" si="12"/>
        <v>0</v>
      </c>
      <c r="M109" s="5">
        <f t="shared" si="12"/>
        <v>0</v>
      </c>
    </row>
    <row r="110" ht="13.5" thickTop="1"/>
    <row r="111" ht="13.5" thickBot="1">
      <c r="A111" s="1" t="s">
        <v>114</v>
      </c>
    </row>
    <row r="117" spans="1:13" ht="13.5" thickBot="1">
      <c r="A117" s="5" t="s">
        <v>77</v>
      </c>
      <c r="B117" s="5">
        <f>SUM(B112:B116)</f>
        <v>0</v>
      </c>
      <c r="C117" s="5">
        <f aca="true" t="shared" si="13" ref="C117:M117">SUM(C112:C116)</f>
        <v>0</v>
      </c>
      <c r="D117" s="5">
        <f t="shared" si="13"/>
        <v>0</v>
      </c>
      <c r="E117" s="5">
        <f t="shared" si="13"/>
        <v>0</v>
      </c>
      <c r="F117" s="5">
        <f t="shared" si="13"/>
        <v>0</v>
      </c>
      <c r="G117" s="5">
        <f t="shared" si="13"/>
        <v>0</v>
      </c>
      <c r="H117" s="5">
        <f t="shared" si="13"/>
        <v>0</v>
      </c>
      <c r="I117" s="5">
        <f t="shared" si="13"/>
        <v>0</v>
      </c>
      <c r="J117" s="5">
        <f t="shared" si="13"/>
        <v>0</v>
      </c>
      <c r="K117" s="5">
        <f t="shared" si="13"/>
        <v>0</v>
      </c>
      <c r="L117" s="5">
        <f t="shared" si="13"/>
        <v>0</v>
      </c>
      <c r="M117" s="5">
        <f t="shared" si="13"/>
        <v>0</v>
      </c>
    </row>
    <row r="118" ht="13.5" thickTop="1"/>
    <row r="119" ht="13.5" thickBot="1">
      <c r="A119" s="1" t="s">
        <v>116</v>
      </c>
    </row>
    <row r="124" spans="1:13" ht="13.5" thickBot="1">
      <c r="A124" s="5" t="s">
        <v>77</v>
      </c>
      <c r="B124" s="5">
        <f>SUM(B120:B123)</f>
        <v>0</v>
      </c>
      <c r="C124" s="5">
        <f aca="true" t="shared" si="14" ref="C124:M124">SUM(C120:C123)</f>
        <v>0</v>
      </c>
      <c r="D124" s="5">
        <f t="shared" si="14"/>
        <v>0</v>
      </c>
      <c r="E124" s="5">
        <f t="shared" si="14"/>
        <v>0</v>
      </c>
      <c r="F124" s="5">
        <f t="shared" si="14"/>
        <v>0</v>
      </c>
      <c r="G124" s="5">
        <f t="shared" si="14"/>
        <v>0</v>
      </c>
      <c r="H124" s="5">
        <f t="shared" si="14"/>
        <v>0</v>
      </c>
      <c r="I124" s="5">
        <f t="shared" si="14"/>
        <v>0</v>
      </c>
      <c r="J124" s="5">
        <f t="shared" si="14"/>
        <v>0</v>
      </c>
      <c r="K124" s="5">
        <f t="shared" si="14"/>
        <v>0</v>
      </c>
      <c r="L124" s="5">
        <f t="shared" si="14"/>
        <v>0</v>
      </c>
      <c r="M124" s="5">
        <f t="shared" si="14"/>
        <v>0</v>
      </c>
    </row>
    <row r="125" ht="13.5" thickTop="1"/>
    <row r="126" spans="1:13" ht="13.5" thickBot="1">
      <c r="A126" s="5" t="s">
        <v>217</v>
      </c>
      <c r="B126" s="5">
        <f>B10+B18+B26+B36+B44+B52+B60+B70+B78+B85+B93+B102+B109+B117+B124</f>
        <v>690000</v>
      </c>
      <c r="C126" s="5">
        <f aca="true" t="shared" si="15" ref="C126:M126">C10+C18+C26+C36+C44+C52+C60+C70+C78+C85+C93+C102+C109+C117+C124</f>
        <v>0</v>
      </c>
      <c r="D126" s="5">
        <f t="shared" si="15"/>
        <v>0</v>
      </c>
      <c r="E126" s="5">
        <f t="shared" si="15"/>
        <v>0</v>
      </c>
      <c r="F126" s="5">
        <f t="shared" si="15"/>
        <v>0</v>
      </c>
      <c r="G126" s="5">
        <f t="shared" si="15"/>
        <v>0</v>
      </c>
      <c r="H126" s="5">
        <f t="shared" si="15"/>
        <v>0</v>
      </c>
      <c r="I126" s="5">
        <f t="shared" si="15"/>
        <v>0</v>
      </c>
      <c r="J126" s="5">
        <f t="shared" si="15"/>
        <v>0</v>
      </c>
      <c r="K126" s="5">
        <f t="shared" si="15"/>
        <v>0</v>
      </c>
      <c r="L126" s="5">
        <f t="shared" si="15"/>
        <v>0</v>
      </c>
      <c r="M126" s="5">
        <f t="shared" si="15"/>
        <v>0</v>
      </c>
    </row>
    <row r="127" ht="13.5" thickTop="1"/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04"/>
  <sheetViews>
    <sheetView workbookViewId="0" topLeftCell="A16">
      <selection activeCell="B35" sqref="B35:M35"/>
    </sheetView>
  </sheetViews>
  <sheetFormatPr defaultColWidth="9.140625" defaultRowHeight="12.75"/>
  <cols>
    <col min="1" max="1" width="24.421875" style="0" customWidth="1"/>
  </cols>
  <sheetData>
    <row r="1" ht="13.5" thickBot="1">
      <c r="A1" t="s">
        <v>103</v>
      </c>
    </row>
    <row r="2" spans="2:13" ht="13.5" thickBot="1">
      <c r="B2" s="6">
        <v>2009</v>
      </c>
      <c r="C2" s="7">
        <v>2010</v>
      </c>
      <c r="D2" s="7">
        <v>2011</v>
      </c>
      <c r="E2" s="7">
        <v>2012</v>
      </c>
      <c r="F2" s="7">
        <v>2013</v>
      </c>
      <c r="G2" s="7">
        <v>2014</v>
      </c>
      <c r="H2" s="7">
        <v>2015</v>
      </c>
      <c r="I2" s="7">
        <v>2016</v>
      </c>
      <c r="J2" s="7">
        <v>2017</v>
      </c>
      <c r="K2" s="7">
        <v>2018</v>
      </c>
      <c r="L2" s="7">
        <v>2019</v>
      </c>
      <c r="M2" s="8">
        <v>2020</v>
      </c>
    </row>
    <row r="4" ht="13.5" thickBot="1">
      <c r="A4" s="1" t="s">
        <v>104</v>
      </c>
    </row>
    <row r="5" spans="1:13" ht="12.75">
      <c r="A5" t="s">
        <v>105</v>
      </c>
      <c r="B5" s="10">
        <v>3163401</v>
      </c>
      <c r="C5" s="10">
        <f>B10</f>
        <v>3021401</v>
      </c>
      <c r="D5" s="10">
        <f aca="true" t="shared" si="0" ref="D5:M5">C10</f>
        <v>2971401</v>
      </c>
      <c r="E5" s="10">
        <f t="shared" si="0"/>
        <v>3021401</v>
      </c>
      <c r="F5" s="10">
        <f t="shared" si="0"/>
        <v>3261401</v>
      </c>
      <c r="G5" s="10">
        <f t="shared" si="0"/>
        <v>3211401</v>
      </c>
      <c r="H5" s="10">
        <f t="shared" si="0"/>
        <v>3161401</v>
      </c>
      <c r="I5" s="10">
        <f t="shared" si="0"/>
        <v>3111401</v>
      </c>
      <c r="J5" s="10">
        <f t="shared" si="0"/>
        <v>3061401</v>
      </c>
      <c r="K5" s="10">
        <f t="shared" si="0"/>
        <v>3011401</v>
      </c>
      <c r="L5" s="10">
        <f t="shared" si="0"/>
        <v>2961401</v>
      </c>
      <c r="M5" s="10">
        <f t="shared" si="0"/>
        <v>2911401</v>
      </c>
    </row>
    <row r="6" spans="1:13" ht="12.75">
      <c r="A6" t="s">
        <v>106</v>
      </c>
      <c r="B6" s="10">
        <f>Investeringsplan!B9</f>
        <v>432000</v>
      </c>
      <c r="C6" s="10">
        <f>Investeringsplan!C9</f>
        <v>0</v>
      </c>
      <c r="D6" s="10">
        <f>Investeringsplan!D9</f>
        <v>100000</v>
      </c>
      <c r="E6" s="10">
        <f>Investeringsplan!E9</f>
        <v>290000</v>
      </c>
      <c r="F6" s="10">
        <f>Investeringsplan!F9</f>
        <v>0</v>
      </c>
      <c r="G6" s="10">
        <f>Investeringsplan!G9</f>
        <v>0</v>
      </c>
      <c r="H6" s="10">
        <f>Investeringsplan!H9</f>
        <v>0</v>
      </c>
      <c r="I6" s="10">
        <f>Investeringsplan!I9</f>
        <v>0</v>
      </c>
      <c r="J6" s="10">
        <f>Investeringsplan!J9</f>
        <v>0</v>
      </c>
      <c r="K6" s="10">
        <f>Investeringsplan!K9</f>
        <v>0</v>
      </c>
      <c r="L6" s="10">
        <f>Investeringsplan!L9</f>
        <v>0</v>
      </c>
      <c r="M6" s="10">
        <f>Investeringsplan!M9</f>
        <v>1100000</v>
      </c>
    </row>
    <row r="7" spans="1:13" ht="12.75">
      <c r="A7" t="s">
        <v>107</v>
      </c>
      <c r="B7" s="10">
        <f>Aktivsalg!B10</f>
        <v>574000</v>
      </c>
      <c r="C7" s="10">
        <f>Aktivsalg!C10</f>
        <v>0</v>
      </c>
      <c r="D7" s="10">
        <f>Aktivsalg!D10</f>
        <v>0</v>
      </c>
      <c r="E7" s="10">
        <f>Aktivsalg!E10</f>
        <v>0</v>
      </c>
      <c r="F7" s="10">
        <f>Aktivsalg!F10</f>
        <v>0</v>
      </c>
      <c r="G7" s="10">
        <f>Aktivsalg!G10</f>
        <v>0</v>
      </c>
      <c r="H7" s="10">
        <f>Aktivsalg!H10</f>
        <v>0</v>
      </c>
      <c r="I7" s="10">
        <f>Aktivsalg!I10</f>
        <v>0</v>
      </c>
      <c r="J7" s="10">
        <f>Aktivsalg!J10</f>
        <v>0</v>
      </c>
      <c r="K7" s="10">
        <f>Aktivsalg!K10</f>
        <v>0</v>
      </c>
      <c r="L7" s="10">
        <f>Aktivsalg!L10</f>
        <v>0</v>
      </c>
      <c r="M7" s="10">
        <f>Aktivsalg!M10</f>
        <v>0</v>
      </c>
    </row>
    <row r="8" spans="1:13" ht="12.75">
      <c r="A8" t="s">
        <v>108</v>
      </c>
      <c r="B8" s="10">
        <f>B5+B6-B7</f>
        <v>3021401</v>
      </c>
      <c r="C8" s="10">
        <f aca="true" t="shared" si="1" ref="C8:M8">C5+C6-C7</f>
        <v>3021401</v>
      </c>
      <c r="D8" s="10">
        <f t="shared" si="1"/>
        <v>3071401</v>
      </c>
      <c r="E8" s="10">
        <f t="shared" si="1"/>
        <v>3311401</v>
      </c>
      <c r="F8" s="10">
        <f t="shared" si="1"/>
        <v>3261401</v>
      </c>
      <c r="G8" s="10">
        <f t="shared" si="1"/>
        <v>3211401</v>
      </c>
      <c r="H8" s="10">
        <f t="shared" si="1"/>
        <v>3161401</v>
      </c>
      <c r="I8" s="10">
        <f t="shared" si="1"/>
        <v>3111401</v>
      </c>
      <c r="J8" s="10">
        <f t="shared" si="1"/>
        <v>3061401</v>
      </c>
      <c r="K8" s="10">
        <f t="shared" si="1"/>
        <v>3011401</v>
      </c>
      <c r="L8" s="10">
        <f t="shared" si="1"/>
        <v>2961401</v>
      </c>
      <c r="M8" s="10">
        <f t="shared" si="1"/>
        <v>4011401</v>
      </c>
    </row>
    <row r="9" spans="1:13" ht="13.5" thickBot="1">
      <c r="A9" s="1" t="s">
        <v>117</v>
      </c>
      <c r="B9" s="14"/>
      <c r="C9" s="14">
        <v>50000</v>
      </c>
      <c r="D9" s="14">
        <v>50000</v>
      </c>
      <c r="E9" s="14">
        <v>50000</v>
      </c>
      <c r="F9" s="14">
        <v>50000</v>
      </c>
      <c r="G9" s="14">
        <v>50000</v>
      </c>
      <c r="H9" s="14">
        <v>50000</v>
      </c>
      <c r="I9" s="14">
        <v>50000</v>
      </c>
      <c r="J9" s="14">
        <v>50000</v>
      </c>
      <c r="K9" s="14">
        <v>50000</v>
      </c>
      <c r="L9" s="14">
        <v>50000</v>
      </c>
      <c r="M9" s="14">
        <v>50000</v>
      </c>
    </row>
    <row r="10" spans="1:13" ht="12.75">
      <c r="A10" t="s">
        <v>109</v>
      </c>
      <c r="B10" s="10">
        <f>B8-B9</f>
        <v>3021401</v>
      </c>
      <c r="C10" s="10">
        <f aca="true" t="shared" si="2" ref="C10:M10">C8-C9</f>
        <v>2971401</v>
      </c>
      <c r="D10" s="10">
        <f t="shared" si="2"/>
        <v>3021401</v>
      </c>
      <c r="E10" s="10">
        <f t="shared" si="2"/>
        <v>3261401</v>
      </c>
      <c r="F10" s="10">
        <f t="shared" si="2"/>
        <v>3211401</v>
      </c>
      <c r="G10" s="10">
        <f t="shared" si="2"/>
        <v>3161401</v>
      </c>
      <c r="H10" s="10">
        <f t="shared" si="2"/>
        <v>3111401</v>
      </c>
      <c r="I10" s="10">
        <f t="shared" si="2"/>
        <v>3061401</v>
      </c>
      <c r="J10" s="10">
        <f t="shared" si="2"/>
        <v>3011401</v>
      </c>
      <c r="K10" s="10">
        <f t="shared" si="2"/>
        <v>2961401</v>
      </c>
      <c r="L10" s="10">
        <f t="shared" si="2"/>
        <v>2911401</v>
      </c>
      <c r="M10" s="10">
        <f t="shared" si="2"/>
        <v>3961401</v>
      </c>
    </row>
    <row r="11" spans="2:13" ht="12.7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3.5" thickBot="1">
      <c r="A12" s="1" t="s">
        <v>88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2.75">
      <c r="A13" t="s">
        <v>105</v>
      </c>
      <c r="B13" s="10">
        <v>504306</v>
      </c>
      <c r="C13" s="10">
        <f>B18</f>
        <v>504306</v>
      </c>
      <c r="D13" s="10">
        <f aca="true" t="shared" si="3" ref="D13:M13">C18</f>
        <v>504306</v>
      </c>
      <c r="E13" s="10">
        <f t="shared" si="3"/>
        <v>504306</v>
      </c>
      <c r="F13" s="10">
        <f t="shared" si="3"/>
        <v>504306</v>
      </c>
      <c r="G13" s="10">
        <f t="shared" si="3"/>
        <v>504306</v>
      </c>
      <c r="H13" s="10">
        <f t="shared" si="3"/>
        <v>504306</v>
      </c>
      <c r="I13" s="10">
        <f t="shared" si="3"/>
        <v>504306</v>
      </c>
      <c r="J13" s="10">
        <f t="shared" si="3"/>
        <v>604306</v>
      </c>
      <c r="K13" s="10">
        <f t="shared" si="3"/>
        <v>604306</v>
      </c>
      <c r="L13" s="10">
        <f t="shared" si="3"/>
        <v>604306</v>
      </c>
      <c r="M13" s="10">
        <f t="shared" si="3"/>
        <v>604306</v>
      </c>
    </row>
    <row r="14" spans="1:13" ht="12.75">
      <c r="A14" t="s">
        <v>106</v>
      </c>
      <c r="B14" s="10">
        <f>Investeringsplan!B85+Investeringsplan!B102+Investeringsplan!B109</f>
        <v>0</v>
      </c>
      <c r="C14" s="10">
        <f>Investeringsplan!C85+Investeringsplan!C102+Investeringsplan!C109</f>
        <v>0</v>
      </c>
      <c r="D14" s="10">
        <f>Investeringsplan!D85+Investeringsplan!D102+Investeringsplan!D109</f>
        <v>0</v>
      </c>
      <c r="E14" s="10">
        <f>Investeringsplan!E85+Investeringsplan!E102+Investeringsplan!E109</f>
        <v>0</v>
      </c>
      <c r="F14" s="10">
        <f>Investeringsplan!F85+Investeringsplan!F102+Investeringsplan!F109</f>
        <v>0</v>
      </c>
      <c r="G14" s="10">
        <f>Investeringsplan!G85+Investeringsplan!G102+Investeringsplan!G109</f>
        <v>0</v>
      </c>
      <c r="H14" s="10">
        <f>Investeringsplan!H85+Investeringsplan!H102+Investeringsplan!H109</f>
        <v>0</v>
      </c>
      <c r="I14" s="10">
        <f>Investeringsplan!I85+Investeringsplan!I102+Investeringsplan!I109</f>
        <v>100000</v>
      </c>
      <c r="J14" s="10">
        <f>Investeringsplan!J85+Investeringsplan!J102+Investeringsplan!J109</f>
        <v>0</v>
      </c>
      <c r="K14" s="10">
        <f>Investeringsplan!K85+Investeringsplan!K102+Investeringsplan!K109</f>
        <v>0</v>
      </c>
      <c r="L14" s="10">
        <f>Investeringsplan!L85+Investeringsplan!L102+Investeringsplan!L109</f>
        <v>0</v>
      </c>
      <c r="M14" s="10">
        <f>Investeringsplan!M85+Investeringsplan!M102+Investeringsplan!M109</f>
        <v>0</v>
      </c>
    </row>
    <row r="15" spans="1:13" ht="12.75">
      <c r="A15" t="s">
        <v>107</v>
      </c>
      <c r="B15" s="10">
        <f>Aktivsalg!B85+Aktivsalg!B102+Aktivsalg!B109</f>
        <v>0</v>
      </c>
      <c r="C15" s="10">
        <f>Aktivsalg!C85+Aktivsalg!C102+Aktivsalg!C109</f>
        <v>0</v>
      </c>
      <c r="D15" s="10">
        <f>Aktivsalg!D85+Aktivsalg!D102+Aktivsalg!D109</f>
        <v>0</v>
      </c>
      <c r="E15" s="10">
        <f>Aktivsalg!E85+Aktivsalg!E102+Aktivsalg!E109</f>
        <v>0</v>
      </c>
      <c r="F15" s="10">
        <f>Aktivsalg!F85+Aktivsalg!F102+Aktivsalg!F109</f>
        <v>0</v>
      </c>
      <c r="G15" s="10">
        <f>Aktivsalg!G85+Aktivsalg!G102+Aktivsalg!G109</f>
        <v>0</v>
      </c>
      <c r="H15" s="10">
        <f>Aktivsalg!H85+Aktivsalg!H102+Aktivsalg!H109</f>
        <v>0</v>
      </c>
      <c r="I15" s="10">
        <f>Aktivsalg!I85+Aktivsalg!I102+Aktivsalg!I109</f>
        <v>0</v>
      </c>
      <c r="J15" s="10">
        <f>Aktivsalg!J85+Aktivsalg!J102+Aktivsalg!J109</f>
        <v>0</v>
      </c>
      <c r="K15" s="10">
        <f>Aktivsalg!K85+Aktivsalg!K102+Aktivsalg!K109</f>
        <v>0</v>
      </c>
      <c r="L15" s="10">
        <f>Aktivsalg!L85+Aktivsalg!L102+Aktivsalg!L109</f>
        <v>0</v>
      </c>
      <c r="M15" s="10">
        <f>Aktivsalg!M85+Aktivsalg!M102+Aktivsalg!M109</f>
        <v>0</v>
      </c>
    </row>
    <row r="16" spans="1:13" ht="12.75">
      <c r="A16" t="s">
        <v>108</v>
      </c>
      <c r="B16" s="10">
        <f>B13+B14-B15</f>
        <v>504306</v>
      </c>
      <c r="C16" s="10">
        <f aca="true" t="shared" si="4" ref="C16:M16">C13+C14-C15</f>
        <v>504306</v>
      </c>
      <c r="D16" s="10">
        <f t="shared" si="4"/>
        <v>504306</v>
      </c>
      <c r="E16" s="10">
        <f t="shared" si="4"/>
        <v>504306</v>
      </c>
      <c r="F16" s="10">
        <f t="shared" si="4"/>
        <v>504306</v>
      </c>
      <c r="G16" s="10">
        <f t="shared" si="4"/>
        <v>504306</v>
      </c>
      <c r="H16" s="10">
        <f t="shared" si="4"/>
        <v>504306</v>
      </c>
      <c r="I16" s="10">
        <f t="shared" si="4"/>
        <v>604306</v>
      </c>
      <c r="J16" s="10">
        <f t="shared" si="4"/>
        <v>604306</v>
      </c>
      <c r="K16" s="10">
        <f t="shared" si="4"/>
        <v>604306</v>
      </c>
      <c r="L16" s="10">
        <f t="shared" si="4"/>
        <v>604306</v>
      </c>
      <c r="M16" s="10">
        <f t="shared" si="4"/>
        <v>604306</v>
      </c>
    </row>
    <row r="17" spans="1:13" ht="13.5" thickBot="1">
      <c r="A17" s="1" t="s">
        <v>117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2.75">
      <c r="A18" t="s">
        <v>109</v>
      </c>
      <c r="B18" s="10">
        <f>B16-B17</f>
        <v>504306</v>
      </c>
      <c r="C18" s="10">
        <f aca="true" t="shared" si="5" ref="C18:M18">C16-C17</f>
        <v>504306</v>
      </c>
      <c r="D18" s="10">
        <f t="shared" si="5"/>
        <v>504306</v>
      </c>
      <c r="E18" s="10">
        <f t="shared" si="5"/>
        <v>504306</v>
      </c>
      <c r="F18" s="10">
        <f t="shared" si="5"/>
        <v>504306</v>
      </c>
      <c r="G18" s="10">
        <f t="shared" si="5"/>
        <v>504306</v>
      </c>
      <c r="H18" s="10">
        <f t="shared" si="5"/>
        <v>504306</v>
      </c>
      <c r="I18" s="10">
        <f t="shared" si="5"/>
        <v>604306</v>
      </c>
      <c r="J18" s="10">
        <f t="shared" si="5"/>
        <v>604306</v>
      </c>
      <c r="K18" s="10">
        <f t="shared" si="5"/>
        <v>604306</v>
      </c>
      <c r="L18" s="10">
        <f t="shared" si="5"/>
        <v>604306</v>
      </c>
      <c r="M18" s="10">
        <f t="shared" si="5"/>
        <v>604306</v>
      </c>
    </row>
    <row r="19" spans="2:13" ht="12.7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3.5" thickBot="1">
      <c r="A20" s="1" t="s">
        <v>87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7" ht="12.75">
      <c r="A21" t="s">
        <v>105</v>
      </c>
      <c r="B21" s="10">
        <v>211891</v>
      </c>
      <c r="C21" s="10">
        <f>B26</f>
        <v>218357.35</v>
      </c>
      <c r="D21" s="10">
        <f aca="true" t="shared" si="6" ref="D21:M21">C26</f>
        <v>194103.7475</v>
      </c>
      <c r="E21" s="10">
        <f t="shared" si="6"/>
        <v>164988.185375</v>
      </c>
      <c r="F21" s="10">
        <f t="shared" si="6"/>
        <v>140239.95756875</v>
      </c>
      <c r="G21" s="10">
        <f t="shared" si="6"/>
        <v>144703.96393343748</v>
      </c>
      <c r="H21" s="10">
        <f t="shared" si="6"/>
        <v>195248.36934342186</v>
      </c>
      <c r="I21" s="10">
        <f t="shared" si="6"/>
        <v>165961.11394190858</v>
      </c>
      <c r="J21" s="10">
        <f t="shared" si="6"/>
        <v>141066.9468506223</v>
      </c>
      <c r="K21" s="10">
        <f t="shared" si="6"/>
        <v>119906.90482302896</v>
      </c>
      <c r="L21" s="10">
        <f t="shared" si="6"/>
        <v>110420.86909957461</v>
      </c>
      <c r="M21" s="10">
        <f t="shared" si="6"/>
        <v>157607.73873463843</v>
      </c>
      <c r="N21" s="10"/>
      <c r="O21" s="10"/>
      <c r="P21" s="10"/>
      <c r="Q21" s="10"/>
    </row>
    <row r="22" spans="1:13" ht="12.75">
      <c r="A22" t="s">
        <v>106</v>
      </c>
      <c r="B22" s="10">
        <f>Investeringsplan!B78</f>
        <v>45000</v>
      </c>
      <c r="C22" s="10">
        <f>Investeringsplan!C78</f>
        <v>10000</v>
      </c>
      <c r="D22" s="10">
        <f>Investeringsplan!D78</f>
        <v>0</v>
      </c>
      <c r="E22" s="10">
        <f>Investeringsplan!E78</f>
        <v>0</v>
      </c>
      <c r="F22" s="10">
        <f>Investeringsplan!F78</f>
        <v>30000</v>
      </c>
      <c r="G22" s="10">
        <f>Investeringsplan!G78</f>
        <v>85000</v>
      </c>
      <c r="H22" s="10">
        <f>Investeringsplan!H78</f>
        <v>0</v>
      </c>
      <c r="I22" s="10">
        <f>Investeringsplan!I78</f>
        <v>0</v>
      </c>
      <c r="J22" s="10">
        <f>Investeringsplan!J78</f>
        <v>0</v>
      </c>
      <c r="K22" s="10">
        <f>Investeringsplan!K78</f>
        <v>10000</v>
      </c>
      <c r="L22" s="10">
        <f>Investeringsplan!L78</f>
        <v>75000</v>
      </c>
      <c r="M22" s="10">
        <f>Investeringsplan!M78</f>
        <v>0</v>
      </c>
    </row>
    <row r="23" spans="1:13" ht="12.75">
      <c r="A23" t="s">
        <v>107</v>
      </c>
      <c r="B23" s="10">
        <f>Aktivsalg!B78</f>
        <v>0</v>
      </c>
      <c r="C23" s="10">
        <f>Aktivsalg!C78</f>
        <v>0</v>
      </c>
      <c r="D23" s="10">
        <f>Aktivsalg!D78</f>
        <v>0</v>
      </c>
      <c r="E23" s="10">
        <f>Aktivsalg!E78</f>
        <v>0</v>
      </c>
      <c r="F23" s="10">
        <f>Aktivsalg!F78</f>
        <v>0</v>
      </c>
      <c r="G23" s="10">
        <f>Aktivsalg!G78</f>
        <v>0</v>
      </c>
      <c r="H23" s="10">
        <f>Aktivsalg!H78</f>
        <v>0</v>
      </c>
      <c r="I23" s="10">
        <f>Aktivsalg!I78</f>
        <v>0</v>
      </c>
      <c r="J23" s="10">
        <f>Aktivsalg!J78</f>
        <v>0</v>
      </c>
      <c r="K23" s="10">
        <f>Aktivsalg!K78</f>
        <v>0</v>
      </c>
      <c r="L23" s="10">
        <f>Aktivsalg!L78</f>
        <v>0</v>
      </c>
      <c r="M23" s="10">
        <f>Aktivsalg!M78</f>
        <v>0</v>
      </c>
    </row>
    <row r="24" spans="1:13" ht="12.75">
      <c r="A24" t="s">
        <v>108</v>
      </c>
      <c r="B24" s="10">
        <f>B21+B22-B23</f>
        <v>256891</v>
      </c>
      <c r="C24" s="10">
        <f aca="true" t="shared" si="7" ref="C24:M24">C21+C22-C23</f>
        <v>228357.35</v>
      </c>
      <c r="D24" s="10">
        <f t="shared" si="7"/>
        <v>194103.7475</v>
      </c>
      <c r="E24" s="10">
        <f t="shared" si="7"/>
        <v>164988.185375</v>
      </c>
      <c r="F24" s="10">
        <f t="shared" si="7"/>
        <v>170239.95756875</v>
      </c>
      <c r="G24" s="10">
        <f t="shared" si="7"/>
        <v>229703.96393343748</v>
      </c>
      <c r="H24" s="10">
        <f t="shared" si="7"/>
        <v>195248.36934342186</v>
      </c>
      <c r="I24" s="10">
        <f t="shared" si="7"/>
        <v>165961.11394190858</v>
      </c>
      <c r="J24" s="10">
        <f t="shared" si="7"/>
        <v>141066.9468506223</v>
      </c>
      <c r="K24" s="10">
        <f t="shared" si="7"/>
        <v>129906.90482302896</v>
      </c>
      <c r="L24" s="10">
        <f t="shared" si="7"/>
        <v>185420.86909957463</v>
      </c>
      <c r="M24" s="10">
        <f t="shared" si="7"/>
        <v>157607.73873463843</v>
      </c>
    </row>
    <row r="25" spans="1:13" ht="13.5" thickBot="1">
      <c r="A25" s="1" t="s">
        <v>117</v>
      </c>
      <c r="B25" s="14">
        <f>B24*'Øko. nøgletal'!B13</f>
        <v>38533.65</v>
      </c>
      <c r="C25" s="14">
        <f>C24*'Øko. nøgletal'!C13</f>
        <v>34253.6025</v>
      </c>
      <c r="D25" s="14">
        <f>D24*'Øko. nøgletal'!D13</f>
        <v>29115.562125</v>
      </c>
      <c r="E25" s="14">
        <f>E24*'Øko. nøgletal'!E13</f>
        <v>24748.22780625</v>
      </c>
      <c r="F25" s="14">
        <f>F24*'Øko. nøgletal'!F13</f>
        <v>25535.993635312498</v>
      </c>
      <c r="G25" s="14">
        <f>G24*'Øko. nøgletal'!G13</f>
        <v>34455.59459001562</v>
      </c>
      <c r="H25" s="14">
        <f>H24*'Øko. nøgletal'!H13</f>
        <v>29287.255401513277</v>
      </c>
      <c r="I25" s="14">
        <f>I24*'Øko. nøgletal'!I13</f>
        <v>24894.167091286286</v>
      </c>
      <c r="J25" s="14">
        <f>J24*'Øko. nøgletal'!J13</f>
        <v>21160.042027593347</v>
      </c>
      <c r="K25" s="14">
        <f>K24*'Øko. nøgletal'!K13</f>
        <v>19486.035723454344</v>
      </c>
      <c r="L25" s="14">
        <f>L24*'Øko. nøgletal'!L13</f>
        <v>27813.130364936194</v>
      </c>
      <c r="M25" s="14">
        <f>M24*'Øko. nøgletal'!M13</f>
        <v>23641.160810195764</v>
      </c>
    </row>
    <row r="26" spans="1:13" ht="12.75">
      <c r="A26" t="s">
        <v>109</v>
      </c>
      <c r="B26" s="10">
        <f>B24-B25</f>
        <v>218357.35</v>
      </c>
      <c r="C26" s="10">
        <f aca="true" t="shared" si="8" ref="C26:M26">C24-C25</f>
        <v>194103.7475</v>
      </c>
      <c r="D26" s="10">
        <f t="shared" si="8"/>
        <v>164988.185375</v>
      </c>
      <c r="E26" s="10">
        <f t="shared" si="8"/>
        <v>140239.95756875</v>
      </c>
      <c r="F26" s="10">
        <f t="shared" si="8"/>
        <v>144703.96393343748</v>
      </c>
      <c r="G26" s="10">
        <f t="shared" si="8"/>
        <v>195248.36934342186</v>
      </c>
      <c r="H26" s="10">
        <f t="shared" si="8"/>
        <v>165961.11394190858</v>
      </c>
      <c r="I26" s="10">
        <f t="shared" si="8"/>
        <v>141066.9468506223</v>
      </c>
      <c r="J26" s="10">
        <f t="shared" si="8"/>
        <v>119906.90482302896</v>
      </c>
      <c r="K26" s="10">
        <f t="shared" si="8"/>
        <v>110420.86909957461</v>
      </c>
      <c r="L26" s="10">
        <f t="shared" si="8"/>
        <v>157607.73873463843</v>
      </c>
      <c r="M26" s="10">
        <f t="shared" si="8"/>
        <v>133966.57792444268</v>
      </c>
    </row>
    <row r="27" ht="13.5" thickBot="1"/>
    <row r="28" spans="2:13" ht="13.5" thickBot="1">
      <c r="B28" s="6">
        <v>2009</v>
      </c>
      <c r="C28" s="7">
        <v>2010</v>
      </c>
      <c r="D28" s="7">
        <v>2011</v>
      </c>
      <c r="E28" s="7">
        <v>2012</v>
      </c>
      <c r="F28" s="7">
        <v>2013</v>
      </c>
      <c r="G28" s="7">
        <v>2014</v>
      </c>
      <c r="H28" s="7">
        <v>2015</v>
      </c>
      <c r="I28" s="7">
        <v>2016</v>
      </c>
      <c r="J28" s="7">
        <v>2017</v>
      </c>
      <c r="K28" s="7">
        <v>2018</v>
      </c>
      <c r="L28" s="7">
        <v>2019</v>
      </c>
      <c r="M28" s="8">
        <v>2020</v>
      </c>
    </row>
    <row r="30" ht="13.5" thickBot="1">
      <c r="A30" s="1" t="s">
        <v>110</v>
      </c>
    </row>
    <row r="31" spans="1:13" ht="12.75">
      <c r="A31" t="s">
        <v>105</v>
      </c>
      <c r="B31" s="10">
        <v>106953</v>
      </c>
      <c r="C31" s="10">
        <f>B36</f>
        <v>231041.2</v>
      </c>
      <c r="D31" s="10">
        <f aca="true" t="shared" si="9" ref="D31:M31">C36</f>
        <v>205129.40000000002</v>
      </c>
      <c r="E31" s="10">
        <f t="shared" si="9"/>
        <v>179217.60000000003</v>
      </c>
      <c r="F31" s="10">
        <f t="shared" si="9"/>
        <v>413305.80000000005</v>
      </c>
      <c r="G31" s="10">
        <f t="shared" si="9"/>
        <v>387394.00000000006</v>
      </c>
      <c r="H31" s="10">
        <f t="shared" si="9"/>
        <v>361482.20000000007</v>
      </c>
      <c r="I31" s="10">
        <f t="shared" si="9"/>
        <v>335570.4000000001</v>
      </c>
      <c r="J31" s="10">
        <f t="shared" si="9"/>
        <v>309658.6000000001</v>
      </c>
      <c r="K31" s="10">
        <f t="shared" si="9"/>
        <v>283746.8000000001</v>
      </c>
      <c r="L31" s="10">
        <f t="shared" si="9"/>
        <v>257835.00000000012</v>
      </c>
      <c r="M31" s="10">
        <f t="shared" si="9"/>
        <v>231923.20000000013</v>
      </c>
    </row>
    <row r="32" spans="1:13" ht="12.75">
      <c r="A32" t="s">
        <v>106</v>
      </c>
      <c r="B32" s="10">
        <f>Investeringsplan!B60</f>
        <v>150000</v>
      </c>
      <c r="C32" s="10">
        <f>Investeringsplan!C60</f>
        <v>0</v>
      </c>
      <c r="D32" s="10">
        <f>Investeringsplan!D60</f>
        <v>0</v>
      </c>
      <c r="E32" s="10">
        <f>Investeringsplan!E60</f>
        <v>260000</v>
      </c>
      <c r="F32" s="10">
        <f>Investeringsplan!F60</f>
        <v>0</v>
      </c>
      <c r="G32" s="10">
        <f>Investeringsplan!G60</f>
        <v>0</v>
      </c>
      <c r="H32" s="10">
        <f>Investeringsplan!H60</f>
        <v>0</v>
      </c>
      <c r="I32" s="10">
        <f>Investeringsplan!I60</f>
        <v>0</v>
      </c>
      <c r="J32" s="10">
        <f>Investeringsplan!J60</f>
        <v>0</v>
      </c>
      <c r="K32" s="10">
        <f>Investeringsplan!K60</f>
        <v>0</v>
      </c>
      <c r="L32" s="10">
        <f>Investeringsplan!L60</f>
        <v>0</v>
      </c>
      <c r="M32" s="10">
        <f>Investeringsplan!M60</f>
        <v>200000</v>
      </c>
    </row>
    <row r="33" spans="1:13" ht="12.75">
      <c r="A33" t="s">
        <v>107</v>
      </c>
      <c r="B33" s="10">
        <f>Aktivsalg!B60</f>
        <v>0</v>
      </c>
      <c r="C33" s="10">
        <f>Aktivsalg!C60</f>
        <v>0</v>
      </c>
      <c r="D33" s="10">
        <f>Aktivsalg!D60</f>
        <v>0</v>
      </c>
      <c r="E33" s="10">
        <f>Aktivsalg!E60</f>
        <v>0</v>
      </c>
      <c r="F33" s="10">
        <f>Aktivsalg!F60</f>
        <v>0</v>
      </c>
      <c r="G33" s="10">
        <f>Aktivsalg!G60</f>
        <v>0</v>
      </c>
      <c r="H33" s="10">
        <f>Aktivsalg!H60</f>
        <v>0</v>
      </c>
      <c r="I33" s="10">
        <f>Aktivsalg!I60</f>
        <v>0</v>
      </c>
      <c r="J33" s="10">
        <f>Aktivsalg!J60</f>
        <v>0</v>
      </c>
      <c r="K33" s="10">
        <f>Aktivsalg!K60</f>
        <v>0</v>
      </c>
      <c r="L33" s="10">
        <f>Aktivsalg!L60</f>
        <v>0</v>
      </c>
      <c r="M33" s="10">
        <f>Aktivsalg!M60</f>
        <v>0</v>
      </c>
    </row>
    <row r="34" spans="1:13" ht="12.75">
      <c r="A34" t="s">
        <v>108</v>
      </c>
      <c r="B34" s="10">
        <f>B31+B32-B33</f>
        <v>256953</v>
      </c>
      <c r="C34" s="10">
        <f aca="true" t="shared" si="10" ref="C34:M34">C31+C32-C33</f>
        <v>231041.2</v>
      </c>
      <c r="D34" s="10">
        <f t="shared" si="10"/>
        <v>205129.40000000002</v>
      </c>
      <c r="E34" s="10">
        <f t="shared" si="10"/>
        <v>439217.60000000003</v>
      </c>
      <c r="F34" s="10">
        <f t="shared" si="10"/>
        <v>413305.80000000005</v>
      </c>
      <c r="G34" s="10">
        <f t="shared" si="10"/>
        <v>387394.00000000006</v>
      </c>
      <c r="H34" s="10">
        <f t="shared" si="10"/>
        <v>361482.20000000007</v>
      </c>
      <c r="I34" s="10">
        <f t="shared" si="10"/>
        <v>335570.4000000001</v>
      </c>
      <c r="J34" s="10">
        <f t="shared" si="10"/>
        <v>309658.6000000001</v>
      </c>
      <c r="K34" s="10">
        <f t="shared" si="10"/>
        <v>283746.8000000001</v>
      </c>
      <c r="L34" s="10">
        <f t="shared" si="10"/>
        <v>257835.00000000012</v>
      </c>
      <c r="M34" s="10">
        <f t="shared" si="10"/>
        <v>431923.2000000001</v>
      </c>
    </row>
    <row r="35" spans="1:13" ht="13.5" thickBot="1">
      <c r="A35" s="1" t="s">
        <v>117</v>
      </c>
      <c r="B35" s="14">
        <f>(Medlemsstatus!C5*'Øko. nøgletal'!B19*Aktivitetsoversigt!C47/100)+(Aktivitetsoversigt!C48*Medlemsstatus!C6*'Øko. nøgletal'!B19/100)+('Øko. nøgletal'!B19*Medlemsstatus!C7*Aktivitetsoversigt!C49/100)+(Aktivitetsoversigt!C53*Medlemsstatus!C11*'Øko. nøgletal'!B19/100)+('Øko. nøgletal'!B19*Medlemsstatus!C12*Aktivitetsoversigt!C54/100)+(Aktivitetsoversigt!C55*Medlemsstatus!C13*'Øko. nøgletal'!B19)+(Medlemsstatus!C5*Aktivitetsoversigt!C67*('Øko. nøgletal'!B21+'Øko. nøgletal'!B22)/100)+(Medlemsstatus!C6*Aktivitetsoversigt!C68*('Øko. nøgletal'!B21+'Øko. nøgletal'!B22)/100)+(('Øko. nøgletal'!B21+'Øko. nøgletal'!B22)*Medlemsstatus!C7*Aktivitetsoversigt!C69/100)+(Aktivitetsoversigt!C73*Medlemsstatus!C11*('Øko. nøgletal'!B21+'Øko. nøgletal'!B22)/100)+(('Øko. nøgletal'!B21+'Øko. nøgletal'!B22)*Medlemsstatus!C12*Aktivitetsoversigt!C74/100)+(Aktivitetsoversigt!C75*Medlemsstatus!C13*('Øko. nøgletal'!B21+'Øko. nøgletal'!B22)/100)</f>
        <v>25911.8</v>
      </c>
      <c r="C35" s="14">
        <f>(Medlemsstatus!D5*'Øko. nøgletal'!C19*Aktivitetsoversigt!D47/100)+(Aktivitetsoversigt!D48*Medlemsstatus!D6*'Øko. nøgletal'!C19/100)+('Øko. nøgletal'!C19*Medlemsstatus!D7*Aktivitetsoversigt!D49/100)+(Aktivitetsoversigt!D53*Medlemsstatus!D11*'Øko. nøgletal'!C19/100)+('Øko. nøgletal'!C19*Medlemsstatus!D12*Aktivitetsoversigt!D54/100)+(Aktivitetsoversigt!D55*Medlemsstatus!D13*'Øko. nøgletal'!C19)+(Medlemsstatus!D5*Aktivitetsoversigt!D67*('Øko. nøgletal'!C21+'Øko. nøgletal'!C22)/100)+(Medlemsstatus!D6*Aktivitetsoversigt!D68*('Øko. nøgletal'!C21+'Øko. nøgletal'!C22)/100)+(('Øko. nøgletal'!C21+'Øko. nøgletal'!C22)*Medlemsstatus!D7*Aktivitetsoversigt!D69/100)+(Aktivitetsoversigt!D73*Medlemsstatus!D11*('Øko. nøgletal'!C21+'Øko. nøgletal'!C22)/100)+(('Øko. nøgletal'!C21+'Øko. nøgletal'!C22)*Medlemsstatus!D12*Aktivitetsoversigt!D74/100)+(Aktivitetsoversigt!D75*Medlemsstatus!D13*('Øko. nøgletal'!C21+'Øko. nøgletal'!C22)/100)</f>
        <v>25911.8</v>
      </c>
      <c r="D35" s="14">
        <f>(Medlemsstatus!E5*'Øko. nøgletal'!D19*Aktivitetsoversigt!E47/100)+(Aktivitetsoversigt!E48*Medlemsstatus!E6*'Øko. nøgletal'!D19/100)+('Øko. nøgletal'!D19*Medlemsstatus!E7*Aktivitetsoversigt!E49/100)+(Aktivitetsoversigt!E53*Medlemsstatus!E11*'Øko. nøgletal'!D19/100)+('Øko. nøgletal'!D19*Medlemsstatus!E12*Aktivitetsoversigt!E54/100)+(Aktivitetsoversigt!E55*Medlemsstatus!E13*'Øko. nøgletal'!D19)+(Medlemsstatus!E5*Aktivitetsoversigt!E67*('Øko. nøgletal'!D21+'Øko. nøgletal'!D22)/100)+(Medlemsstatus!E6*Aktivitetsoversigt!E68*('Øko. nøgletal'!D21+'Øko. nøgletal'!D22)/100)+(('Øko. nøgletal'!D21+'Øko. nøgletal'!D22)*Medlemsstatus!E7*Aktivitetsoversigt!E69/100)+(Aktivitetsoversigt!E73*Medlemsstatus!E11*('Øko. nøgletal'!D21+'Øko. nøgletal'!D22)/100)+(('Øko. nøgletal'!D21+'Øko. nøgletal'!D22)*Medlemsstatus!E12*Aktivitetsoversigt!E74/100)+(Aktivitetsoversigt!E75*Medlemsstatus!E13*('Øko. nøgletal'!D21+'Øko. nøgletal'!D22)/100)</f>
        <v>25911.8</v>
      </c>
      <c r="E35" s="14">
        <f>(Medlemsstatus!F5*'Øko. nøgletal'!E19*Aktivitetsoversigt!F47/100)+(Aktivitetsoversigt!F48*Medlemsstatus!F6*'Øko. nøgletal'!E19/100)+('Øko. nøgletal'!E19*Medlemsstatus!F7*Aktivitetsoversigt!F49/100)+(Aktivitetsoversigt!F53*Medlemsstatus!F11*'Øko. nøgletal'!E19/100)+('Øko. nøgletal'!E19*Medlemsstatus!F12*Aktivitetsoversigt!F54/100)+(Aktivitetsoversigt!F55*Medlemsstatus!F13*'Øko. nøgletal'!E19)+(Medlemsstatus!F5*Aktivitetsoversigt!F67*('Øko. nøgletal'!E21+'Øko. nøgletal'!E22)/100)+(Medlemsstatus!F6*Aktivitetsoversigt!F68*('Øko. nøgletal'!E21+'Øko. nøgletal'!E22)/100)+(('Øko. nøgletal'!E21+'Øko. nøgletal'!E22)*Medlemsstatus!F7*Aktivitetsoversigt!F69/100)+(Aktivitetsoversigt!F73*Medlemsstatus!F11*('Øko. nøgletal'!E21+'Øko. nøgletal'!E22)/100)+(('Øko. nøgletal'!E21+'Øko. nøgletal'!E22)*Medlemsstatus!F12*Aktivitetsoversigt!F74/100)+(Aktivitetsoversigt!F75*Medlemsstatus!F13*('Øko. nøgletal'!E21+'Øko. nøgletal'!E22)/100)</f>
        <v>25911.8</v>
      </c>
      <c r="F35" s="14">
        <f>(Medlemsstatus!G5*'Øko. nøgletal'!F19*Aktivitetsoversigt!G47/100)+(Aktivitetsoversigt!G48*Medlemsstatus!G6*'Øko. nøgletal'!F19/100)+('Øko. nøgletal'!F19*Medlemsstatus!G7*Aktivitetsoversigt!G49/100)+(Aktivitetsoversigt!G53*Medlemsstatus!G11*'Øko. nøgletal'!F19/100)+('Øko. nøgletal'!F19*Medlemsstatus!G12*Aktivitetsoversigt!G54/100)+(Aktivitetsoversigt!G55*Medlemsstatus!G13*'Øko. nøgletal'!F19)+(Medlemsstatus!G5*Aktivitetsoversigt!G67*('Øko. nøgletal'!F21+'Øko. nøgletal'!F22)/100)+(Medlemsstatus!G6*Aktivitetsoversigt!G68*('Øko. nøgletal'!F21+'Øko. nøgletal'!F22)/100)+(('Øko. nøgletal'!F21+'Øko. nøgletal'!F22)*Medlemsstatus!G7*Aktivitetsoversigt!G69/100)+(Aktivitetsoversigt!G73*Medlemsstatus!G11*('Øko. nøgletal'!F21+'Øko. nøgletal'!F22)/100)+(('Øko. nøgletal'!F21+'Øko. nøgletal'!F22)*Medlemsstatus!G12*Aktivitetsoversigt!G74/100)+(Aktivitetsoversigt!G75*Medlemsstatus!G13*('Øko. nøgletal'!F21+'Øko. nøgletal'!F22)/100)</f>
        <v>25911.8</v>
      </c>
      <c r="G35" s="14">
        <f>(Medlemsstatus!H5*'Øko. nøgletal'!G19*Aktivitetsoversigt!H47/100)+(Aktivitetsoversigt!H48*Medlemsstatus!H6*'Øko. nøgletal'!G19/100)+('Øko. nøgletal'!G19*Medlemsstatus!H7*Aktivitetsoversigt!H49/100)+(Aktivitetsoversigt!H53*Medlemsstatus!H11*'Øko. nøgletal'!G19/100)+('Øko. nøgletal'!G19*Medlemsstatus!H12*Aktivitetsoversigt!H54/100)+(Aktivitetsoversigt!H55*Medlemsstatus!H13*'Øko. nøgletal'!G19)+(Medlemsstatus!H5*Aktivitetsoversigt!H67*('Øko. nøgletal'!G21+'Øko. nøgletal'!G22)/100)+(Medlemsstatus!H6*Aktivitetsoversigt!H68*('Øko. nøgletal'!G21+'Øko. nøgletal'!G22)/100)+(('Øko. nøgletal'!G21+'Øko. nøgletal'!G22)*Medlemsstatus!H7*Aktivitetsoversigt!H69/100)+(Aktivitetsoversigt!H73*Medlemsstatus!H11*('Øko. nøgletal'!G21+'Øko. nøgletal'!G22)/100)+(('Øko. nøgletal'!G21+'Øko. nøgletal'!G22)*Medlemsstatus!H12*Aktivitetsoversigt!H74/100)+(Aktivitetsoversigt!H75*Medlemsstatus!H13*('Øko. nøgletal'!G21+'Øko. nøgletal'!G22)/100)</f>
        <v>25911.8</v>
      </c>
      <c r="H35" s="14">
        <f>(Medlemsstatus!I5*'Øko. nøgletal'!H19*Aktivitetsoversigt!I47/100)+(Aktivitetsoversigt!I48*Medlemsstatus!I6*'Øko. nøgletal'!H19/100)+('Øko. nøgletal'!H19*Medlemsstatus!I7*Aktivitetsoversigt!I49/100)+(Aktivitetsoversigt!I53*Medlemsstatus!I11*'Øko. nøgletal'!H19/100)+('Øko. nøgletal'!H19*Medlemsstatus!I12*Aktivitetsoversigt!I54/100)+(Aktivitetsoversigt!I55*Medlemsstatus!I13*'Øko. nøgletal'!H19)+(Medlemsstatus!I5*Aktivitetsoversigt!I67*('Øko. nøgletal'!H21+'Øko. nøgletal'!H22)/100)+(Medlemsstatus!I6*Aktivitetsoversigt!I68*('Øko. nøgletal'!H21+'Øko. nøgletal'!H22)/100)+(('Øko. nøgletal'!H21+'Øko. nøgletal'!H22)*Medlemsstatus!I7*Aktivitetsoversigt!I69/100)+(Aktivitetsoversigt!I73*Medlemsstatus!I11*('Øko. nøgletal'!H21+'Øko. nøgletal'!H22)/100)+(('Øko. nøgletal'!H21+'Øko. nøgletal'!H22)*Medlemsstatus!I12*Aktivitetsoversigt!I74/100)+(Aktivitetsoversigt!I75*Medlemsstatus!I13*('Øko. nøgletal'!H21+'Øko. nøgletal'!H22)/100)</f>
        <v>25911.8</v>
      </c>
      <c r="I35" s="14">
        <f>(Medlemsstatus!J5*'Øko. nøgletal'!I19*Aktivitetsoversigt!J47/100)+(Aktivitetsoversigt!J48*Medlemsstatus!J6*'Øko. nøgletal'!I19/100)+('Øko. nøgletal'!I19*Medlemsstatus!J7*Aktivitetsoversigt!J49/100)+(Aktivitetsoversigt!J53*Medlemsstatus!J11*'Øko. nøgletal'!I19/100)+('Øko. nøgletal'!I19*Medlemsstatus!J12*Aktivitetsoversigt!J54/100)+(Aktivitetsoversigt!J55*Medlemsstatus!J13*'Øko. nøgletal'!I19)+(Medlemsstatus!J5*Aktivitetsoversigt!J67*('Øko. nøgletal'!I21+'Øko. nøgletal'!I22)/100)+(Medlemsstatus!J6*Aktivitetsoversigt!J68*('Øko. nøgletal'!I21+'Øko. nøgletal'!I22)/100)+(('Øko. nøgletal'!I21+'Øko. nøgletal'!I22)*Medlemsstatus!J7*Aktivitetsoversigt!J69/100)+(Aktivitetsoversigt!J73*Medlemsstatus!J11*('Øko. nøgletal'!I21+'Øko. nøgletal'!I22)/100)+(('Øko. nøgletal'!I21+'Øko. nøgletal'!I22)*Medlemsstatus!J12*Aktivitetsoversigt!J74/100)+(Aktivitetsoversigt!J75*Medlemsstatus!J13*('Øko. nøgletal'!I21+'Øko. nøgletal'!I22)/100)</f>
        <v>25911.8</v>
      </c>
      <c r="J35" s="14">
        <f>(Medlemsstatus!K5*'Øko. nøgletal'!J19*Aktivitetsoversigt!K47/100)+(Aktivitetsoversigt!K48*Medlemsstatus!K6*'Øko. nøgletal'!J19/100)+('Øko. nøgletal'!J19*Medlemsstatus!K7*Aktivitetsoversigt!K49/100)+(Aktivitetsoversigt!K53*Medlemsstatus!K11*'Øko. nøgletal'!J19/100)+('Øko. nøgletal'!J19*Medlemsstatus!K12*Aktivitetsoversigt!K54/100)+(Aktivitetsoversigt!K55*Medlemsstatus!K13*'Øko. nøgletal'!J19)+(Medlemsstatus!K5*Aktivitetsoversigt!K67*('Øko. nøgletal'!J21+'Øko. nøgletal'!J22)/100)+(Medlemsstatus!K6*Aktivitetsoversigt!K68*('Øko. nøgletal'!J21+'Øko. nøgletal'!J22)/100)+(('Øko. nøgletal'!J21+'Øko. nøgletal'!J22)*Medlemsstatus!K7*Aktivitetsoversigt!K69/100)+(Aktivitetsoversigt!K73*Medlemsstatus!K11*('Øko. nøgletal'!J21+'Øko. nøgletal'!J22)/100)+(('Øko. nøgletal'!J21+'Øko. nøgletal'!J22)*Medlemsstatus!K12*Aktivitetsoversigt!K74/100)+(Aktivitetsoversigt!K75*Medlemsstatus!K13*('Øko. nøgletal'!J21+'Øko. nøgletal'!J22)/100)</f>
        <v>25911.8</v>
      </c>
      <c r="K35" s="14">
        <f>(Medlemsstatus!L5*'Øko. nøgletal'!K19*Aktivitetsoversigt!L47/100)+(Aktivitetsoversigt!L48*Medlemsstatus!L6*'Øko. nøgletal'!K19/100)+('Øko. nøgletal'!K19*Medlemsstatus!L7*Aktivitetsoversigt!L49/100)+(Aktivitetsoversigt!L53*Medlemsstatus!L11*'Øko. nøgletal'!K19/100)+('Øko. nøgletal'!K19*Medlemsstatus!L12*Aktivitetsoversigt!L54/100)+(Aktivitetsoversigt!L55*Medlemsstatus!L13*'Øko. nøgletal'!K19)+(Medlemsstatus!L5*Aktivitetsoversigt!L67*('Øko. nøgletal'!K21+'Øko. nøgletal'!K22)/100)+(Medlemsstatus!L6*Aktivitetsoversigt!L68*('Øko. nøgletal'!K21+'Øko. nøgletal'!K22)/100)+(('Øko. nøgletal'!K21+'Øko. nøgletal'!K22)*Medlemsstatus!L7*Aktivitetsoversigt!L69/100)+(Aktivitetsoversigt!L73*Medlemsstatus!L11*('Øko. nøgletal'!K21+'Øko. nøgletal'!K22)/100)+(('Øko. nøgletal'!K21+'Øko. nøgletal'!K22)*Medlemsstatus!L12*Aktivitetsoversigt!L74/100)+(Aktivitetsoversigt!L75*Medlemsstatus!L13*('Øko. nøgletal'!K21+'Øko. nøgletal'!K22)/100)</f>
        <v>25911.8</v>
      </c>
      <c r="L35" s="14">
        <f>(Medlemsstatus!M5*'Øko. nøgletal'!L19*Aktivitetsoversigt!M47/100)+(Aktivitetsoversigt!M48*Medlemsstatus!M6*'Øko. nøgletal'!L19/100)+('Øko. nøgletal'!L19*Medlemsstatus!M7*Aktivitetsoversigt!M49/100)+(Aktivitetsoversigt!M53*Medlemsstatus!M11*'Øko. nøgletal'!L19/100)+('Øko. nøgletal'!L19*Medlemsstatus!M12*Aktivitetsoversigt!M54/100)+(Aktivitetsoversigt!M55*Medlemsstatus!M13*'Øko. nøgletal'!L19)+(Medlemsstatus!M5*Aktivitetsoversigt!M67*('Øko. nøgletal'!L21+'Øko. nøgletal'!L22)/100)+(Medlemsstatus!M6*Aktivitetsoversigt!M68*('Øko. nøgletal'!L21+'Øko. nøgletal'!L22)/100)+(('Øko. nøgletal'!L21+'Øko. nøgletal'!L22)*Medlemsstatus!M7*Aktivitetsoversigt!M69/100)+(Aktivitetsoversigt!M73*Medlemsstatus!M11*('Øko. nøgletal'!L21+'Øko. nøgletal'!L22)/100)+(('Øko. nøgletal'!L21+'Øko. nøgletal'!L22)*Medlemsstatus!M12*Aktivitetsoversigt!M74/100)+(Aktivitetsoversigt!M75*Medlemsstatus!M13*('Øko. nøgletal'!L21+'Øko. nøgletal'!L22)/100)</f>
        <v>25911.8</v>
      </c>
      <c r="M35" s="14">
        <f>(Medlemsstatus!N5*'Øko. nøgletal'!M19*Aktivitetsoversigt!N47/100)+(Aktivitetsoversigt!N48*Medlemsstatus!N6*'Øko. nøgletal'!M19/100)+('Øko. nøgletal'!M19*Medlemsstatus!N7*Aktivitetsoversigt!N49/100)+(Aktivitetsoversigt!N53*Medlemsstatus!N11*'Øko. nøgletal'!M19/100)+('Øko. nøgletal'!M19*Medlemsstatus!N12*Aktivitetsoversigt!N54/100)+(Aktivitetsoversigt!N55*Medlemsstatus!N13*'Øko. nøgletal'!M19)+(Medlemsstatus!N5*Aktivitetsoversigt!N67*('Øko. nøgletal'!M21+'Øko. nøgletal'!M22)/100)+(Medlemsstatus!N6*Aktivitetsoversigt!N68*('Øko. nøgletal'!M21+'Øko. nøgletal'!M22)/100)+(('Øko. nøgletal'!M21+'Øko. nøgletal'!M22)*Medlemsstatus!N7*Aktivitetsoversigt!N69/100)+(Aktivitetsoversigt!N73*Medlemsstatus!N11*('Øko. nøgletal'!M21+'Øko. nøgletal'!M22)/100)+(('Øko. nøgletal'!M21+'Øko. nøgletal'!M22)*Medlemsstatus!N12*Aktivitetsoversigt!N74/100)+(Aktivitetsoversigt!N75*Medlemsstatus!N13*('Øko. nøgletal'!M21+'Øko. nøgletal'!M22)/100)</f>
        <v>25911.8</v>
      </c>
    </row>
    <row r="36" spans="1:13" ht="12.75">
      <c r="A36" t="s">
        <v>109</v>
      </c>
      <c r="B36" s="10">
        <f>B34-B35</f>
        <v>231041.2</v>
      </c>
      <c r="C36" s="10">
        <f aca="true" t="shared" si="11" ref="C36:M36">C34-C35</f>
        <v>205129.40000000002</v>
      </c>
      <c r="D36" s="10">
        <f t="shared" si="11"/>
        <v>179217.60000000003</v>
      </c>
      <c r="E36" s="10">
        <f t="shared" si="11"/>
        <v>413305.80000000005</v>
      </c>
      <c r="F36" s="10">
        <f t="shared" si="11"/>
        <v>387394.00000000006</v>
      </c>
      <c r="G36" s="10">
        <f t="shared" si="11"/>
        <v>361482.20000000007</v>
      </c>
      <c r="H36" s="10">
        <f t="shared" si="11"/>
        <v>335570.4000000001</v>
      </c>
      <c r="I36" s="10">
        <f t="shared" si="11"/>
        <v>309658.6000000001</v>
      </c>
      <c r="J36" s="10">
        <f t="shared" si="11"/>
        <v>283746.8000000001</v>
      </c>
      <c r="K36" s="10">
        <f t="shared" si="11"/>
        <v>257835.00000000012</v>
      </c>
      <c r="L36" s="10">
        <f t="shared" si="11"/>
        <v>231923.20000000013</v>
      </c>
      <c r="M36" s="10">
        <f t="shared" si="11"/>
        <v>406011.40000000014</v>
      </c>
    </row>
    <row r="37" spans="2:13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13.5" thickBot="1">
      <c r="A38" s="1" t="s">
        <v>231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2.75">
      <c r="A39" t="s">
        <v>105</v>
      </c>
      <c r="B39" s="10">
        <v>41666</v>
      </c>
      <c r="C39" s="10">
        <f>B44</f>
        <v>33332.666666666664</v>
      </c>
      <c r="D39" s="10">
        <f aca="true" t="shared" si="12" ref="D39:M39">C44</f>
        <v>24999.33333333333</v>
      </c>
      <c r="E39" s="10">
        <f t="shared" si="12"/>
        <v>16665.999999999993</v>
      </c>
      <c r="F39" s="10">
        <f t="shared" si="12"/>
        <v>8332.666666666659</v>
      </c>
      <c r="G39" s="10">
        <f t="shared" si="12"/>
        <v>59999.33333333332</v>
      </c>
      <c r="H39" s="10">
        <f t="shared" si="12"/>
        <v>51665.999999999985</v>
      </c>
      <c r="I39" s="10">
        <f t="shared" si="12"/>
        <v>43332.66666666665</v>
      </c>
      <c r="J39" s="10">
        <f t="shared" si="12"/>
        <v>34999.333333333314</v>
      </c>
      <c r="K39" s="10">
        <f t="shared" si="12"/>
        <v>26665.999999999978</v>
      </c>
      <c r="L39" s="10">
        <f t="shared" si="12"/>
        <v>18332.666666666642</v>
      </c>
      <c r="M39" s="10">
        <f t="shared" si="12"/>
        <v>79999.33333333331</v>
      </c>
    </row>
    <row r="40" spans="1:13" ht="12.75">
      <c r="A40" t="s">
        <v>106</v>
      </c>
      <c r="B40" s="10">
        <f>Investeringsplan!B70</f>
        <v>0</v>
      </c>
      <c r="C40" s="10">
        <f>Investeringsplan!C70</f>
        <v>0</v>
      </c>
      <c r="D40" s="10">
        <f>Investeringsplan!D70</f>
        <v>0</v>
      </c>
      <c r="E40" s="10">
        <f>Investeringsplan!E70</f>
        <v>0</v>
      </c>
      <c r="F40" s="10">
        <f>Investeringsplan!F70</f>
        <v>60000</v>
      </c>
      <c r="G40" s="10">
        <f>Investeringsplan!G70</f>
        <v>0</v>
      </c>
      <c r="H40" s="10">
        <f>Investeringsplan!H70</f>
        <v>0</v>
      </c>
      <c r="I40" s="10">
        <f>Investeringsplan!I70</f>
        <v>0</v>
      </c>
      <c r="J40" s="10">
        <f>Investeringsplan!J70</f>
        <v>0</v>
      </c>
      <c r="K40" s="10">
        <f>Investeringsplan!K70</f>
        <v>0</v>
      </c>
      <c r="L40" s="10">
        <f>Investeringsplan!L70</f>
        <v>70000</v>
      </c>
      <c r="M40" s="10">
        <f>Investeringsplan!M70</f>
        <v>0</v>
      </c>
    </row>
    <row r="41" spans="1:13" ht="12.75">
      <c r="A41" t="s">
        <v>107</v>
      </c>
      <c r="B41" s="10">
        <f>Aktivsalg!B70</f>
        <v>0</v>
      </c>
      <c r="C41" s="10">
        <f>Aktivsalg!C70</f>
        <v>0</v>
      </c>
      <c r="D41" s="10">
        <f>Aktivsalg!D70</f>
        <v>0</v>
      </c>
      <c r="E41" s="10">
        <f>Aktivsalg!E70</f>
        <v>0</v>
      </c>
      <c r="F41" s="10">
        <f>Aktivsalg!F70</f>
        <v>0</v>
      </c>
      <c r="G41" s="10">
        <f>Aktivsalg!G70</f>
        <v>0</v>
      </c>
      <c r="H41" s="10">
        <f>Aktivsalg!H70</f>
        <v>0</v>
      </c>
      <c r="I41" s="10">
        <f>Aktivsalg!I70</f>
        <v>0</v>
      </c>
      <c r="J41" s="10">
        <f>Aktivsalg!J70</f>
        <v>0</v>
      </c>
      <c r="K41" s="10">
        <f>Aktivsalg!K70</f>
        <v>0</v>
      </c>
      <c r="L41" s="10">
        <f>Aktivsalg!L70</f>
        <v>0</v>
      </c>
      <c r="M41" s="10">
        <f>Aktivsalg!M70</f>
        <v>0</v>
      </c>
    </row>
    <row r="42" spans="1:13" ht="12.75">
      <c r="A42" t="s">
        <v>108</v>
      </c>
      <c r="B42" s="10">
        <f>B39+B40-B41</f>
        <v>41666</v>
      </c>
      <c r="C42" s="10">
        <f aca="true" t="shared" si="13" ref="C42:M42">C39+C40-C41</f>
        <v>33332.666666666664</v>
      </c>
      <c r="D42" s="10">
        <f t="shared" si="13"/>
        <v>24999.33333333333</v>
      </c>
      <c r="E42" s="10">
        <f t="shared" si="13"/>
        <v>16665.999999999993</v>
      </c>
      <c r="F42" s="10">
        <f t="shared" si="13"/>
        <v>68332.66666666666</v>
      </c>
      <c r="G42" s="10">
        <f t="shared" si="13"/>
        <v>59999.33333333332</v>
      </c>
      <c r="H42" s="10">
        <f t="shared" si="13"/>
        <v>51665.999999999985</v>
      </c>
      <c r="I42" s="10">
        <f t="shared" si="13"/>
        <v>43332.66666666665</v>
      </c>
      <c r="J42" s="10">
        <f t="shared" si="13"/>
        <v>34999.333333333314</v>
      </c>
      <c r="K42" s="10">
        <f t="shared" si="13"/>
        <v>26665.999999999978</v>
      </c>
      <c r="L42" s="10">
        <f t="shared" si="13"/>
        <v>88332.66666666664</v>
      </c>
      <c r="M42" s="10">
        <f t="shared" si="13"/>
        <v>79999.33333333331</v>
      </c>
    </row>
    <row r="43" spans="1:13" ht="13.5" thickBot="1">
      <c r="A43" s="1" t="s">
        <v>117</v>
      </c>
      <c r="B43" s="14">
        <f>50000/6</f>
        <v>8333.333333333334</v>
      </c>
      <c r="C43" s="14">
        <f aca="true" t="shared" si="14" ref="C43:M43">50000/6</f>
        <v>8333.333333333334</v>
      </c>
      <c r="D43" s="14">
        <f t="shared" si="14"/>
        <v>8333.333333333334</v>
      </c>
      <c r="E43" s="14">
        <f t="shared" si="14"/>
        <v>8333.333333333334</v>
      </c>
      <c r="F43" s="14">
        <f t="shared" si="14"/>
        <v>8333.333333333334</v>
      </c>
      <c r="G43" s="14">
        <f t="shared" si="14"/>
        <v>8333.333333333334</v>
      </c>
      <c r="H43" s="14">
        <f t="shared" si="14"/>
        <v>8333.333333333334</v>
      </c>
      <c r="I43" s="14">
        <f t="shared" si="14"/>
        <v>8333.333333333334</v>
      </c>
      <c r="J43" s="14">
        <f t="shared" si="14"/>
        <v>8333.333333333334</v>
      </c>
      <c r="K43" s="14">
        <f t="shared" si="14"/>
        <v>8333.333333333334</v>
      </c>
      <c r="L43" s="14">
        <f t="shared" si="14"/>
        <v>8333.333333333334</v>
      </c>
      <c r="M43" s="14">
        <f t="shared" si="14"/>
        <v>8333.333333333334</v>
      </c>
    </row>
    <row r="44" spans="1:13" ht="12.75">
      <c r="A44" t="s">
        <v>109</v>
      </c>
      <c r="B44" s="10">
        <f>B42-B43</f>
        <v>33332.666666666664</v>
      </c>
      <c r="C44" s="10">
        <f aca="true" t="shared" si="15" ref="C44:M44">C42-C43</f>
        <v>24999.33333333333</v>
      </c>
      <c r="D44" s="10">
        <f t="shared" si="15"/>
        <v>16665.999999999993</v>
      </c>
      <c r="E44" s="10">
        <f t="shared" si="15"/>
        <v>8332.666666666659</v>
      </c>
      <c r="F44" s="10">
        <f t="shared" si="15"/>
        <v>59999.33333333332</v>
      </c>
      <c r="G44" s="10">
        <f t="shared" si="15"/>
        <v>51665.999999999985</v>
      </c>
      <c r="H44" s="10">
        <f t="shared" si="15"/>
        <v>43332.66666666665</v>
      </c>
      <c r="I44" s="10">
        <f t="shared" si="15"/>
        <v>34999.333333333314</v>
      </c>
      <c r="J44" s="10">
        <f t="shared" si="15"/>
        <v>26665.999999999978</v>
      </c>
      <c r="K44" s="10">
        <f t="shared" si="15"/>
        <v>18332.666666666642</v>
      </c>
      <c r="L44" s="10">
        <f t="shared" si="15"/>
        <v>79999.33333333331</v>
      </c>
      <c r="M44" s="10">
        <f t="shared" si="15"/>
        <v>71665.99999999999</v>
      </c>
    </row>
    <row r="45" spans="2:13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3.5" thickBot="1">
      <c r="A46" s="1" t="s">
        <v>111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2.75">
      <c r="A47" t="s">
        <v>105</v>
      </c>
      <c r="B47" s="10">
        <v>153427</v>
      </c>
      <c r="C47" s="10">
        <f>B52</f>
        <v>181412.95</v>
      </c>
      <c r="D47" s="10">
        <f aca="true" t="shared" si="16" ref="D47:M47">C52</f>
        <v>154201.0075</v>
      </c>
      <c r="E47" s="10">
        <f t="shared" si="16"/>
        <v>131070.856375</v>
      </c>
      <c r="F47" s="10">
        <f t="shared" si="16"/>
        <v>153910.22791875</v>
      </c>
      <c r="G47" s="10">
        <f t="shared" si="16"/>
        <v>130823.69373093749</v>
      </c>
      <c r="H47" s="10">
        <f t="shared" si="16"/>
        <v>111200.13967129687</v>
      </c>
      <c r="I47" s="10">
        <f t="shared" si="16"/>
        <v>94520.11872060235</v>
      </c>
      <c r="J47" s="10">
        <f t="shared" si="16"/>
        <v>80342.10091251199</v>
      </c>
      <c r="K47" s="10">
        <f t="shared" si="16"/>
        <v>68290.78577563519</v>
      </c>
      <c r="L47" s="10">
        <f t="shared" si="16"/>
        <v>58047.167909289914</v>
      </c>
      <c r="M47" s="10">
        <f t="shared" si="16"/>
        <v>49340.09272289643</v>
      </c>
    </row>
    <row r="48" spans="1:13" ht="12.75">
      <c r="A48" t="s">
        <v>106</v>
      </c>
      <c r="B48" s="10">
        <f>Investeringsplan!B17</f>
        <v>130000</v>
      </c>
      <c r="C48" s="10">
        <f>Investeringsplan!C17</f>
        <v>0</v>
      </c>
      <c r="D48" s="10">
        <f>Investeringsplan!D17</f>
        <v>0</v>
      </c>
      <c r="E48" s="10">
        <f>Investeringsplan!E17</f>
        <v>50000</v>
      </c>
      <c r="F48" s="10">
        <f>Investeringsplan!F17</f>
        <v>0</v>
      </c>
      <c r="G48" s="10">
        <f>Investeringsplan!G17</f>
        <v>0</v>
      </c>
      <c r="H48" s="10">
        <f>Investeringsplan!H17</f>
        <v>0</v>
      </c>
      <c r="I48" s="10">
        <f>Investeringsplan!I17</f>
        <v>0</v>
      </c>
      <c r="J48" s="10">
        <f>Investeringsplan!J17</f>
        <v>0</v>
      </c>
      <c r="K48" s="10">
        <f>Investeringsplan!K17</f>
        <v>0</v>
      </c>
      <c r="L48" s="10">
        <f>Investeringsplan!L17</f>
        <v>0</v>
      </c>
      <c r="M48" s="10">
        <f>Investeringsplan!M17</f>
        <v>175000</v>
      </c>
    </row>
    <row r="49" spans="1:13" ht="12.75">
      <c r="A49" t="s">
        <v>107</v>
      </c>
      <c r="B49" s="10">
        <f>Aktivsalg!B18</f>
        <v>70000</v>
      </c>
      <c r="C49" s="10">
        <f>Aktivsalg!C18</f>
        <v>0</v>
      </c>
      <c r="D49" s="10">
        <f>Aktivsalg!D18</f>
        <v>0</v>
      </c>
      <c r="E49" s="10">
        <f>Aktivsalg!E18</f>
        <v>0</v>
      </c>
      <c r="F49" s="10">
        <f>Aktivsalg!F18</f>
        <v>0</v>
      </c>
      <c r="G49" s="10">
        <f>Aktivsalg!G18</f>
        <v>0</v>
      </c>
      <c r="H49" s="10">
        <f>Aktivsalg!H18</f>
        <v>0</v>
      </c>
      <c r="I49" s="10">
        <f>Aktivsalg!I18</f>
        <v>0</v>
      </c>
      <c r="J49" s="10">
        <f>Aktivsalg!J18</f>
        <v>0</v>
      </c>
      <c r="K49" s="10">
        <f>Aktivsalg!K18</f>
        <v>0</v>
      </c>
      <c r="L49" s="10">
        <f>Aktivsalg!L18</f>
        <v>0</v>
      </c>
      <c r="M49" s="10">
        <f>Aktivsalg!M18</f>
        <v>0</v>
      </c>
    </row>
    <row r="50" spans="1:13" ht="12.75">
      <c r="A50" t="s">
        <v>108</v>
      </c>
      <c r="B50" s="10">
        <f>B47+B48-B49</f>
        <v>213427</v>
      </c>
      <c r="C50" s="10">
        <f aca="true" t="shared" si="17" ref="C50:M50">C47+C48-C49</f>
        <v>181412.95</v>
      </c>
      <c r="D50" s="10">
        <f t="shared" si="17"/>
        <v>154201.0075</v>
      </c>
      <c r="E50" s="10">
        <f t="shared" si="17"/>
        <v>181070.856375</v>
      </c>
      <c r="F50" s="10">
        <f t="shared" si="17"/>
        <v>153910.22791875</v>
      </c>
      <c r="G50" s="10">
        <f t="shared" si="17"/>
        <v>130823.69373093749</v>
      </c>
      <c r="H50" s="10">
        <f t="shared" si="17"/>
        <v>111200.13967129687</v>
      </c>
      <c r="I50" s="10">
        <f t="shared" si="17"/>
        <v>94520.11872060235</v>
      </c>
      <c r="J50" s="10">
        <f t="shared" si="17"/>
        <v>80342.10091251199</v>
      </c>
      <c r="K50" s="10">
        <f t="shared" si="17"/>
        <v>68290.78577563519</v>
      </c>
      <c r="L50" s="10">
        <f t="shared" si="17"/>
        <v>58047.167909289914</v>
      </c>
      <c r="M50" s="10">
        <f t="shared" si="17"/>
        <v>224340.09272289643</v>
      </c>
    </row>
    <row r="51" spans="1:13" ht="13.5" thickBot="1">
      <c r="A51" s="1" t="s">
        <v>117</v>
      </c>
      <c r="B51" s="14">
        <f>B50*'Øko. nøgletal'!B16</f>
        <v>32014.05</v>
      </c>
      <c r="C51" s="14">
        <f>C50*'Øko. nøgletal'!C16</f>
        <v>27211.9425</v>
      </c>
      <c r="D51" s="14">
        <f>D50*'Øko. nøgletal'!D16</f>
        <v>23130.151125</v>
      </c>
      <c r="E51" s="14">
        <f>E50*'Øko. nøgletal'!E16</f>
        <v>27160.62845625</v>
      </c>
      <c r="F51" s="14">
        <f>F50*'Øko. nøgletal'!F16</f>
        <v>23086.5341878125</v>
      </c>
      <c r="G51" s="14">
        <f>G50*'Øko. nøgletal'!G16</f>
        <v>19623.554059640624</v>
      </c>
      <c r="H51" s="14">
        <f>H50*'Øko. nøgletal'!H16</f>
        <v>16680.02095069453</v>
      </c>
      <c r="I51" s="14">
        <f>I50*'Øko. nøgletal'!I16</f>
        <v>14178.017808090352</v>
      </c>
      <c r="J51" s="14">
        <f>J50*'Øko. nøgletal'!J16</f>
        <v>12051.315136876798</v>
      </c>
      <c r="K51" s="14">
        <f>K50*'Øko. nøgletal'!K16</f>
        <v>10243.617866345277</v>
      </c>
      <c r="L51" s="14">
        <f>L50*'Øko. nøgletal'!L16</f>
        <v>8707.075186393487</v>
      </c>
      <c r="M51" s="14">
        <f>M50*'Øko. nøgletal'!M16</f>
        <v>33651.01390843446</v>
      </c>
    </row>
    <row r="52" spans="1:13" ht="12.75">
      <c r="A52" t="s">
        <v>109</v>
      </c>
      <c r="B52" s="10">
        <f>B50-B51</f>
        <v>181412.95</v>
      </c>
      <c r="C52" s="10">
        <f aca="true" t="shared" si="18" ref="C52:M52">C50-C51</f>
        <v>154201.0075</v>
      </c>
      <c r="D52" s="10">
        <f t="shared" si="18"/>
        <v>131070.856375</v>
      </c>
      <c r="E52" s="10">
        <f t="shared" si="18"/>
        <v>153910.22791875</v>
      </c>
      <c r="F52" s="10">
        <f t="shared" si="18"/>
        <v>130823.69373093749</v>
      </c>
      <c r="G52" s="10">
        <f t="shared" si="18"/>
        <v>111200.13967129687</v>
      </c>
      <c r="H52" s="10">
        <f t="shared" si="18"/>
        <v>94520.11872060235</v>
      </c>
      <c r="I52" s="10">
        <f t="shared" si="18"/>
        <v>80342.10091251199</v>
      </c>
      <c r="J52" s="10">
        <f t="shared" si="18"/>
        <v>68290.78577563519</v>
      </c>
      <c r="K52" s="10">
        <f t="shared" si="18"/>
        <v>58047.167909289914</v>
      </c>
      <c r="L52" s="10">
        <f t="shared" si="18"/>
        <v>49340.09272289643</v>
      </c>
      <c r="M52" s="10">
        <f t="shared" si="18"/>
        <v>190689.07881446197</v>
      </c>
    </row>
    <row r="53" spans="2:13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13.5" thickBot="1">
      <c r="A54" s="1" t="s">
        <v>112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2.75">
      <c r="A55" t="s">
        <v>105</v>
      </c>
      <c r="B55" s="10">
        <v>134529</v>
      </c>
      <c r="C55" s="10">
        <f>B60</f>
        <v>145799.65</v>
      </c>
      <c r="D55" s="10">
        <f aca="true" t="shared" si="19" ref="D55:M55">C60</f>
        <v>123929.7025</v>
      </c>
      <c r="E55" s="10">
        <f t="shared" si="19"/>
        <v>147840.24712500002</v>
      </c>
      <c r="F55" s="10">
        <f t="shared" si="19"/>
        <v>180914.21005625</v>
      </c>
      <c r="G55" s="10">
        <f t="shared" si="19"/>
        <v>153777.0785478125</v>
      </c>
      <c r="H55" s="10">
        <f t="shared" si="19"/>
        <v>130710.51676564063</v>
      </c>
      <c r="I55" s="10">
        <f t="shared" si="19"/>
        <v>111103.93925079453</v>
      </c>
      <c r="J55" s="10">
        <f t="shared" si="19"/>
        <v>94438.34836317535</v>
      </c>
      <c r="K55" s="10">
        <f t="shared" si="19"/>
        <v>80272.59610869904</v>
      </c>
      <c r="L55" s="10">
        <f t="shared" si="19"/>
        <v>68231.70669239419</v>
      </c>
      <c r="M55" s="10">
        <f t="shared" si="19"/>
        <v>57996.950688535064</v>
      </c>
    </row>
    <row r="56" spans="1:13" ht="12.75">
      <c r="A56" t="s">
        <v>106</v>
      </c>
      <c r="B56" s="10">
        <f>Investeringsplan!B26+Investeringsplan!B44+Investeringsplan!B52</f>
        <v>73000</v>
      </c>
      <c r="C56" s="10">
        <f>Investeringsplan!C26+Investeringsplan!C44+Investeringsplan!C52</f>
        <v>0</v>
      </c>
      <c r="D56" s="10">
        <f>Investeringsplan!D26+Investeringsplan!D44+Investeringsplan!D52</f>
        <v>50000</v>
      </c>
      <c r="E56" s="10">
        <f>Investeringsplan!E26+Investeringsplan!E44+Investeringsplan!E52</f>
        <v>65000</v>
      </c>
      <c r="F56" s="10">
        <f>Investeringsplan!F26+Investeringsplan!F44+Investeringsplan!F52</f>
        <v>0</v>
      </c>
      <c r="G56" s="10">
        <f>Investeringsplan!G26+Investeringsplan!G44+Investeringsplan!G52</f>
        <v>0</v>
      </c>
      <c r="H56" s="10">
        <f>Investeringsplan!H26+Investeringsplan!H44+Investeringsplan!H52</f>
        <v>0</v>
      </c>
      <c r="I56" s="10">
        <f>Investeringsplan!I26+Investeringsplan!I44+Investeringsplan!I52</f>
        <v>0</v>
      </c>
      <c r="J56" s="10">
        <f>Investeringsplan!J26+Investeringsplan!J44+Investeringsplan!J52</f>
        <v>0</v>
      </c>
      <c r="K56" s="10">
        <f>Investeringsplan!K26+Investeringsplan!K44+Investeringsplan!K52</f>
        <v>0</v>
      </c>
      <c r="L56" s="10">
        <f>Investeringsplan!L26+Investeringsplan!L44+Investeringsplan!L52</f>
        <v>0</v>
      </c>
      <c r="M56" s="10">
        <f>Investeringsplan!M26+Investeringsplan!M44+Investeringsplan!M52</f>
        <v>120000</v>
      </c>
    </row>
    <row r="57" spans="1:13" ht="12.75">
      <c r="A57" t="s">
        <v>107</v>
      </c>
      <c r="B57" s="10">
        <f>Aktivsalg!B26+Aktivsalg!B44+Aktivsalg!B52</f>
        <v>36000</v>
      </c>
      <c r="C57" s="10">
        <f>Aktivsalg!C26+Aktivsalg!C44+Aktivsalg!C52</f>
        <v>0</v>
      </c>
      <c r="D57" s="10">
        <f>Aktivsalg!D26+Aktivsalg!D44+Aktivsalg!D52</f>
        <v>0</v>
      </c>
      <c r="E57" s="10">
        <f>Aktivsalg!E26+Aktivsalg!E44+Aktivsalg!E52</f>
        <v>0</v>
      </c>
      <c r="F57" s="10">
        <f>Aktivsalg!F26+Aktivsalg!F44+Aktivsalg!F52</f>
        <v>0</v>
      </c>
      <c r="G57" s="10">
        <f>Aktivsalg!G26+Aktivsalg!G44+Aktivsalg!G52</f>
        <v>0</v>
      </c>
      <c r="H57" s="10">
        <f>Aktivsalg!H26+Aktivsalg!H44+Aktivsalg!H52</f>
        <v>0</v>
      </c>
      <c r="I57" s="10">
        <f>Aktivsalg!I26+Aktivsalg!I44+Aktivsalg!I52</f>
        <v>0</v>
      </c>
      <c r="J57" s="10">
        <f>Aktivsalg!J26+Aktivsalg!J44+Aktivsalg!J52</f>
        <v>0</v>
      </c>
      <c r="K57" s="10">
        <f>Aktivsalg!K26+Aktivsalg!K44+Aktivsalg!K52</f>
        <v>0</v>
      </c>
      <c r="L57" s="10">
        <f>Aktivsalg!L26+Aktivsalg!L44+Aktivsalg!L52</f>
        <v>0</v>
      </c>
      <c r="M57" s="10">
        <f>Aktivsalg!M26+Aktivsalg!M44+Aktivsalg!M52</f>
        <v>0</v>
      </c>
    </row>
    <row r="58" spans="1:13" ht="12.75">
      <c r="A58" t="s">
        <v>108</v>
      </c>
      <c r="B58" s="10">
        <f>B55+B56-B57</f>
        <v>171529</v>
      </c>
      <c r="C58" s="10">
        <f aca="true" t="shared" si="20" ref="C58:M58">C55+C56-C57</f>
        <v>145799.65</v>
      </c>
      <c r="D58" s="10">
        <f t="shared" si="20"/>
        <v>173929.7025</v>
      </c>
      <c r="E58" s="10">
        <f t="shared" si="20"/>
        <v>212840.24712500002</v>
      </c>
      <c r="F58" s="10">
        <f t="shared" si="20"/>
        <v>180914.21005625</v>
      </c>
      <c r="G58" s="10">
        <f t="shared" si="20"/>
        <v>153777.0785478125</v>
      </c>
      <c r="H58" s="10">
        <f t="shared" si="20"/>
        <v>130710.51676564063</v>
      </c>
      <c r="I58" s="10">
        <f t="shared" si="20"/>
        <v>111103.93925079453</v>
      </c>
      <c r="J58" s="10">
        <f t="shared" si="20"/>
        <v>94438.34836317535</v>
      </c>
      <c r="K58" s="10">
        <f t="shared" si="20"/>
        <v>80272.59610869904</v>
      </c>
      <c r="L58" s="10">
        <f t="shared" si="20"/>
        <v>68231.70669239419</v>
      </c>
      <c r="M58" s="10">
        <f t="shared" si="20"/>
        <v>177996.95068853506</v>
      </c>
    </row>
    <row r="59" spans="1:13" ht="13.5" thickBot="1">
      <c r="A59" s="1" t="s">
        <v>117</v>
      </c>
      <c r="B59" s="14">
        <f>B58*'Øko. nøgletal'!B14</f>
        <v>25729.35</v>
      </c>
      <c r="C59" s="14">
        <f>C58*'Øko. nøgletal'!C14</f>
        <v>21869.9475</v>
      </c>
      <c r="D59" s="14">
        <f>D58*'Øko. nøgletal'!D14</f>
        <v>26089.455375</v>
      </c>
      <c r="E59" s="14">
        <f>E58*'Øko. nøgletal'!E14</f>
        <v>31926.037068750004</v>
      </c>
      <c r="F59" s="14">
        <f>F58*'Øko. nøgletal'!F14</f>
        <v>27137.131508437502</v>
      </c>
      <c r="G59" s="14">
        <f>G58*'Øko. nøgletal'!G14</f>
        <v>23066.561782171873</v>
      </c>
      <c r="H59" s="14">
        <f>H58*'Øko. nøgletal'!H14</f>
        <v>19606.577514846093</v>
      </c>
      <c r="I59" s="14">
        <f>I58*'Øko. nøgletal'!I14</f>
        <v>16665.59088761918</v>
      </c>
      <c r="J59" s="14">
        <f>J58*'Øko. nøgletal'!J14</f>
        <v>14165.752254476301</v>
      </c>
      <c r="K59" s="14">
        <f>K58*'Øko. nøgletal'!K14</f>
        <v>12040.889416304855</v>
      </c>
      <c r="L59" s="14">
        <f>L58*'Øko. nøgletal'!L14</f>
        <v>10234.756003859127</v>
      </c>
      <c r="M59" s="14">
        <f>M58*'Øko. nøgletal'!M14</f>
        <v>26699.542603280257</v>
      </c>
    </row>
    <row r="60" spans="1:13" ht="12.75">
      <c r="A60" t="s">
        <v>109</v>
      </c>
      <c r="B60" s="10">
        <f>B58-B59</f>
        <v>145799.65</v>
      </c>
      <c r="C60" s="10">
        <f aca="true" t="shared" si="21" ref="C60:M60">C58-C59</f>
        <v>123929.7025</v>
      </c>
      <c r="D60" s="10">
        <f t="shared" si="21"/>
        <v>147840.24712500002</v>
      </c>
      <c r="E60" s="10">
        <f t="shared" si="21"/>
        <v>180914.21005625</v>
      </c>
      <c r="F60" s="10">
        <f t="shared" si="21"/>
        <v>153777.0785478125</v>
      </c>
      <c r="G60" s="10">
        <f t="shared" si="21"/>
        <v>130710.51676564063</v>
      </c>
      <c r="H60" s="10">
        <f t="shared" si="21"/>
        <v>111103.93925079453</v>
      </c>
      <c r="I60" s="10">
        <f t="shared" si="21"/>
        <v>94438.34836317535</v>
      </c>
      <c r="J60" s="10">
        <f t="shared" si="21"/>
        <v>80272.59610869904</v>
      </c>
      <c r="K60" s="10">
        <f t="shared" si="21"/>
        <v>68231.70669239419</v>
      </c>
      <c r="L60" s="10">
        <f t="shared" si="21"/>
        <v>57996.950688535064</v>
      </c>
      <c r="M60" s="10">
        <f t="shared" si="21"/>
        <v>151297.4080852548</v>
      </c>
    </row>
    <row r="61" spans="2:13" ht="12.7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13.5" thickBot="1">
      <c r="A62" s="1" t="s">
        <v>113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2.75">
      <c r="A63" t="s">
        <v>105</v>
      </c>
      <c r="B63" s="10">
        <v>26945</v>
      </c>
      <c r="C63" s="10">
        <f>B68</f>
        <v>27153.25</v>
      </c>
      <c r="D63" s="10">
        <f aca="true" t="shared" si="22" ref="D63:L63">C68</f>
        <v>23080.2625</v>
      </c>
      <c r="E63" s="10">
        <f t="shared" si="22"/>
        <v>32368.223124999997</v>
      </c>
      <c r="F63" s="10">
        <f t="shared" si="22"/>
        <v>27512.989656249996</v>
      </c>
      <c r="G63" s="10">
        <f t="shared" si="22"/>
        <v>36136.041207812494</v>
      </c>
      <c r="H63" s="10">
        <f t="shared" si="22"/>
        <v>30715.63502664062</v>
      </c>
      <c r="I63" s="10">
        <f t="shared" si="22"/>
        <v>38858.28977264453</v>
      </c>
      <c r="J63" s="10">
        <f t="shared" si="22"/>
        <v>33029.54630674785</v>
      </c>
      <c r="K63" s="10">
        <f t="shared" si="22"/>
        <v>40825.11436073567</v>
      </c>
      <c r="L63" s="10">
        <f t="shared" si="22"/>
        <v>34701.34720662532</v>
      </c>
      <c r="M63" s="10">
        <f>L68</f>
        <v>42246.14512563153</v>
      </c>
    </row>
    <row r="64" spans="1:13" ht="12.75">
      <c r="A64" t="s">
        <v>106</v>
      </c>
      <c r="B64" s="10">
        <f>Investeringsplan!B36</f>
        <v>15000</v>
      </c>
      <c r="C64" s="10">
        <f>Investeringsplan!C36</f>
        <v>0</v>
      </c>
      <c r="D64" s="10">
        <f>Investeringsplan!D36</f>
        <v>15000</v>
      </c>
      <c r="E64" s="10">
        <f>Investeringsplan!E36</f>
        <v>0</v>
      </c>
      <c r="F64" s="10">
        <f>Investeringsplan!F36</f>
        <v>15000</v>
      </c>
      <c r="G64" s="10">
        <f>Investeringsplan!G36</f>
        <v>0</v>
      </c>
      <c r="H64" s="10">
        <f>Investeringsplan!H36</f>
        <v>15000</v>
      </c>
      <c r="I64" s="10">
        <f>Investeringsplan!I36</f>
        <v>0</v>
      </c>
      <c r="J64" s="10">
        <f>Investeringsplan!J36</f>
        <v>15000</v>
      </c>
      <c r="K64" s="10">
        <f>Investeringsplan!K36</f>
        <v>0</v>
      </c>
      <c r="L64" s="10">
        <f>Investeringsplan!L36</f>
        <v>15000</v>
      </c>
      <c r="M64" s="10">
        <f>Investeringsplan!M36</f>
        <v>30000</v>
      </c>
    </row>
    <row r="65" spans="1:13" ht="12.75">
      <c r="A65" t="s">
        <v>107</v>
      </c>
      <c r="B65" s="10">
        <f>Aktivsalg!B36</f>
        <v>10000</v>
      </c>
      <c r="C65" s="10">
        <f>Aktivsalg!C36</f>
        <v>0</v>
      </c>
      <c r="D65" s="10">
        <f>Aktivsalg!D36</f>
        <v>0</v>
      </c>
      <c r="E65" s="10">
        <f>Aktivsalg!E36</f>
        <v>0</v>
      </c>
      <c r="F65" s="10">
        <f>Aktivsalg!F36</f>
        <v>0</v>
      </c>
      <c r="G65" s="10">
        <f>Aktivsalg!G36</f>
        <v>0</v>
      </c>
      <c r="H65" s="10">
        <f>Aktivsalg!H36</f>
        <v>0</v>
      </c>
      <c r="I65" s="10">
        <f>Aktivsalg!I36</f>
        <v>0</v>
      </c>
      <c r="J65" s="10">
        <f>Aktivsalg!J36</f>
        <v>0</v>
      </c>
      <c r="K65" s="10">
        <f>Aktivsalg!K36</f>
        <v>0</v>
      </c>
      <c r="L65" s="10">
        <f>Aktivsalg!L36</f>
        <v>0</v>
      </c>
      <c r="M65" s="10">
        <f>Aktivsalg!M36</f>
        <v>0</v>
      </c>
    </row>
    <row r="66" spans="1:13" ht="12.75">
      <c r="A66" t="s">
        <v>108</v>
      </c>
      <c r="B66" s="10">
        <f>B63+B64-B65</f>
        <v>31945</v>
      </c>
      <c r="C66" s="10">
        <f aca="true" t="shared" si="23" ref="C66:M66">C63+C64-C65</f>
        <v>27153.25</v>
      </c>
      <c r="D66" s="10">
        <f t="shared" si="23"/>
        <v>38080.2625</v>
      </c>
      <c r="E66" s="10">
        <f t="shared" si="23"/>
        <v>32368.223124999997</v>
      </c>
      <c r="F66" s="10">
        <f t="shared" si="23"/>
        <v>42512.98965624999</v>
      </c>
      <c r="G66" s="10">
        <f t="shared" si="23"/>
        <v>36136.041207812494</v>
      </c>
      <c r="H66" s="10">
        <f t="shared" si="23"/>
        <v>45715.63502664062</v>
      </c>
      <c r="I66" s="10">
        <f t="shared" si="23"/>
        <v>38858.28977264453</v>
      </c>
      <c r="J66" s="10">
        <f t="shared" si="23"/>
        <v>48029.54630674785</v>
      </c>
      <c r="K66" s="10">
        <f t="shared" si="23"/>
        <v>40825.11436073567</v>
      </c>
      <c r="L66" s="10">
        <f t="shared" si="23"/>
        <v>49701.34720662532</v>
      </c>
      <c r="M66" s="10">
        <f t="shared" si="23"/>
        <v>72246.14512563153</v>
      </c>
    </row>
    <row r="67" spans="1:13" ht="13.5" thickBot="1">
      <c r="A67" s="1" t="s">
        <v>117</v>
      </c>
      <c r="B67" s="14">
        <f>B66*'Øko. nøgletal'!B15</f>
        <v>4791.75</v>
      </c>
      <c r="C67" s="14">
        <f>C66*'Øko. nøgletal'!C15</f>
        <v>4072.9874999999997</v>
      </c>
      <c r="D67" s="14">
        <f>D66*'Øko. nøgletal'!D15</f>
        <v>5712.039374999999</v>
      </c>
      <c r="E67" s="14">
        <f>E66*'Øko. nøgletal'!E15</f>
        <v>4855.23346875</v>
      </c>
      <c r="F67" s="14">
        <f>F66*'Øko. nøgletal'!F15</f>
        <v>6376.948448437499</v>
      </c>
      <c r="G67" s="14">
        <f>G66*'Øko. nøgletal'!G15</f>
        <v>5420.406181171874</v>
      </c>
      <c r="H67" s="14">
        <f>H66*'Øko. nøgletal'!H15</f>
        <v>6857.345253996094</v>
      </c>
      <c r="I67" s="14">
        <f>I66*'Øko. nøgletal'!I15</f>
        <v>5828.7434658966795</v>
      </c>
      <c r="J67" s="14">
        <f>J66*'Øko. nøgletal'!J15</f>
        <v>7204.431946012177</v>
      </c>
      <c r="K67" s="14">
        <f>K66*'Øko. nøgletal'!K15</f>
        <v>6123.767154110351</v>
      </c>
      <c r="L67" s="14">
        <f>L66*'Øko. nøgletal'!L15</f>
        <v>7455.2020809937985</v>
      </c>
      <c r="M67" s="14">
        <f>M66*'Øko. nøgletal'!M15</f>
        <v>10836.92176884473</v>
      </c>
    </row>
    <row r="68" spans="1:13" ht="12.75">
      <c r="A68" t="s">
        <v>109</v>
      </c>
      <c r="B68" s="10">
        <f>B66-B67</f>
        <v>27153.25</v>
      </c>
      <c r="C68" s="10">
        <f aca="true" t="shared" si="24" ref="C68:M68">C66-C67</f>
        <v>23080.2625</v>
      </c>
      <c r="D68" s="10">
        <f t="shared" si="24"/>
        <v>32368.223124999997</v>
      </c>
      <c r="E68" s="10">
        <f t="shared" si="24"/>
        <v>27512.989656249996</v>
      </c>
      <c r="F68" s="10">
        <f t="shared" si="24"/>
        <v>36136.041207812494</v>
      </c>
      <c r="G68" s="10">
        <f t="shared" si="24"/>
        <v>30715.63502664062</v>
      </c>
      <c r="H68" s="10">
        <f t="shared" si="24"/>
        <v>38858.28977264453</v>
      </c>
      <c r="I68" s="10">
        <f t="shared" si="24"/>
        <v>33029.54630674785</v>
      </c>
      <c r="J68" s="10">
        <f t="shared" si="24"/>
        <v>40825.11436073567</v>
      </c>
      <c r="K68" s="10">
        <f t="shared" si="24"/>
        <v>34701.34720662532</v>
      </c>
      <c r="L68" s="10">
        <f t="shared" si="24"/>
        <v>42246.14512563153</v>
      </c>
      <c r="M68" s="10">
        <f t="shared" si="24"/>
        <v>61409.2233567868</v>
      </c>
    </row>
    <row r="69" ht="13.5" thickBot="1"/>
    <row r="70" spans="2:13" ht="13.5" thickBot="1">
      <c r="B70" s="6">
        <v>2009</v>
      </c>
      <c r="C70" s="7">
        <v>2010</v>
      </c>
      <c r="D70" s="7">
        <v>2011</v>
      </c>
      <c r="E70" s="7">
        <v>2012</v>
      </c>
      <c r="F70" s="7">
        <v>2013</v>
      </c>
      <c r="G70" s="7">
        <v>2014</v>
      </c>
      <c r="H70" s="7">
        <v>2015</v>
      </c>
      <c r="I70" s="7">
        <v>2016</v>
      </c>
      <c r="J70" s="7">
        <v>2017</v>
      </c>
      <c r="K70" s="7">
        <v>2018</v>
      </c>
      <c r="L70" s="7">
        <v>2019</v>
      </c>
      <c r="M70" s="8">
        <v>2020</v>
      </c>
    </row>
    <row r="72" spans="1:13" ht="13.5" thickBot="1">
      <c r="A72" s="1" t="s">
        <v>114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ht="12.75">
      <c r="A73" t="s">
        <v>105</v>
      </c>
      <c r="B73" s="10">
        <v>18874</v>
      </c>
      <c r="C73" s="10">
        <f>B78</f>
        <v>16042.9</v>
      </c>
      <c r="D73" s="10">
        <f aca="true" t="shared" si="25" ref="D73:M73">C78</f>
        <v>17886.465</v>
      </c>
      <c r="E73" s="10">
        <f t="shared" si="25"/>
        <v>15203.49525</v>
      </c>
      <c r="F73" s="10">
        <f t="shared" si="25"/>
        <v>12922.9709625</v>
      </c>
      <c r="G73" s="10">
        <f t="shared" si="25"/>
        <v>10984.525318125</v>
      </c>
      <c r="H73" s="10">
        <f t="shared" si="25"/>
        <v>13586.846520406249</v>
      </c>
      <c r="I73" s="10">
        <f t="shared" si="25"/>
        <v>11548.81954234531</v>
      </c>
      <c r="J73" s="10">
        <f t="shared" si="25"/>
        <v>9816.496610993514</v>
      </c>
      <c r="K73" s="10">
        <f t="shared" si="25"/>
        <v>8344.022119344487</v>
      </c>
      <c r="L73" s="10">
        <f t="shared" si="25"/>
        <v>11342.418801442815</v>
      </c>
      <c r="M73" s="10">
        <f t="shared" si="25"/>
        <v>9641.055981226393</v>
      </c>
    </row>
    <row r="74" spans="1:13" ht="12.75">
      <c r="A74" t="s">
        <v>106</v>
      </c>
      <c r="B74" s="10">
        <f>Investeringsplan!B116</f>
        <v>0</v>
      </c>
      <c r="C74" s="10">
        <f>Investeringsplan!C116</f>
        <v>5000</v>
      </c>
      <c r="D74" s="10">
        <f>Investeringsplan!D116</f>
        <v>0</v>
      </c>
      <c r="E74" s="10">
        <f>Investeringsplan!E116</f>
        <v>0</v>
      </c>
      <c r="F74" s="10">
        <f>Investeringsplan!F116</f>
        <v>0</v>
      </c>
      <c r="G74" s="10">
        <f>Investeringsplan!G116</f>
        <v>5000</v>
      </c>
      <c r="H74" s="10">
        <f>Investeringsplan!H116</f>
        <v>0</v>
      </c>
      <c r="I74" s="10">
        <f>Investeringsplan!I116</f>
        <v>0</v>
      </c>
      <c r="J74" s="10">
        <f>Investeringsplan!J116</f>
        <v>0</v>
      </c>
      <c r="K74" s="10">
        <f>Investeringsplan!K116</f>
        <v>5000</v>
      </c>
      <c r="L74" s="10">
        <f>Investeringsplan!L116</f>
        <v>0</v>
      </c>
      <c r="M74" s="10">
        <f>Investeringsplan!M116</f>
        <v>0</v>
      </c>
    </row>
    <row r="75" spans="1:13" ht="12.75">
      <c r="A75" t="s">
        <v>107</v>
      </c>
      <c r="B75" s="10">
        <f>Aktivsalg!B117</f>
        <v>0</v>
      </c>
      <c r="C75" s="10">
        <f>Aktivsalg!C117</f>
        <v>0</v>
      </c>
      <c r="D75" s="10">
        <f>Aktivsalg!D117</f>
        <v>0</v>
      </c>
      <c r="E75" s="10">
        <f>Aktivsalg!E117</f>
        <v>0</v>
      </c>
      <c r="F75" s="10">
        <f>Aktivsalg!F117</f>
        <v>0</v>
      </c>
      <c r="G75" s="10">
        <f>Aktivsalg!G117</f>
        <v>0</v>
      </c>
      <c r="H75" s="10">
        <f>Aktivsalg!H117</f>
        <v>0</v>
      </c>
      <c r="I75" s="10">
        <f>Aktivsalg!I117</f>
        <v>0</v>
      </c>
      <c r="J75" s="10">
        <f>Aktivsalg!J117</f>
        <v>0</v>
      </c>
      <c r="K75" s="10">
        <f>Aktivsalg!K117</f>
        <v>0</v>
      </c>
      <c r="L75" s="10">
        <f>Aktivsalg!L117</f>
        <v>0</v>
      </c>
      <c r="M75" s="10">
        <f>Aktivsalg!M117</f>
        <v>0</v>
      </c>
    </row>
    <row r="76" spans="1:13" ht="12.75">
      <c r="A76" t="s">
        <v>108</v>
      </c>
      <c r="B76" s="10">
        <f>B73+B74-B75</f>
        <v>18874</v>
      </c>
      <c r="C76" s="10">
        <f aca="true" t="shared" si="26" ref="C76:M76">C73+C74-C75</f>
        <v>21042.9</v>
      </c>
      <c r="D76" s="10">
        <f t="shared" si="26"/>
        <v>17886.465</v>
      </c>
      <c r="E76" s="10">
        <f t="shared" si="26"/>
        <v>15203.49525</v>
      </c>
      <c r="F76" s="10">
        <f t="shared" si="26"/>
        <v>12922.9709625</v>
      </c>
      <c r="G76" s="10">
        <f t="shared" si="26"/>
        <v>15984.525318125</v>
      </c>
      <c r="H76" s="10">
        <f t="shared" si="26"/>
        <v>13586.846520406249</v>
      </c>
      <c r="I76" s="10">
        <f t="shared" si="26"/>
        <v>11548.81954234531</v>
      </c>
      <c r="J76" s="10">
        <f t="shared" si="26"/>
        <v>9816.496610993514</v>
      </c>
      <c r="K76" s="10">
        <f t="shared" si="26"/>
        <v>13344.022119344487</v>
      </c>
      <c r="L76" s="10">
        <f t="shared" si="26"/>
        <v>11342.418801442815</v>
      </c>
      <c r="M76" s="10">
        <f t="shared" si="26"/>
        <v>9641.055981226393</v>
      </c>
    </row>
    <row r="77" spans="1:13" ht="13.5" thickBot="1">
      <c r="A77" s="1" t="s">
        <v>117</v>
      </c>
      <c r="B77" s="14">
        <f>B76*'Øko. nøgletal'!B17</f>
        <v>2831.1</v>
      </c>
      <c r="C77" s="14">
        <f>C76*'Øko. nøgletal'!C17</f>
        <v>3156.435</v>
      </c>
      <c r="D77" s="14">
        <f>D76*'Øko. nøgletal'!D17</f>
        <v>2682.9697499999997</v>
      </c>
      <c r="E77" s="14">
        <f>E76*'Øko. nøgletal'!E17</f>
        <v>2280.5242875</v>
      </c>
      <c r="F77" s="14">
        <f>F76*'Øko. nøgletal'!F17</f>
        <v>1938.4456443749998</v>
      </c>
      <c r="G77" s="14">
        <f>G76*'Øko. nøgletal'!G17</f>
        <v>2397.6787977187496</v>
      </c>
      <c r="H77" s="14">
        <f>H76*'Øko. nøgletal'!H17</f>
        <v>2038.0269780609372</v>
      </c>
      <c r="I77" s="14">
        <f>I76*'Øko. nøgletal'!I17</f>
        <v>1732.3229313517966</v>
      </c>
      <c r="J77" s="14">
        <f>J76*'Øko. nøgletal'!J17</f>
        <v>1472.474491649027</v>
      </c>
      <c r="K77" s="14">
        <f>K76*'Øko. nøgletal'!K17</f>
        <v>2001.6033179016729</v>
      </c>
      <c r="L77" s="14">
        <f>L76*'Øko. nøgletal'!L17</f>
        <v>1701.362820216422</v>
      </c>
      <c r="M77" s="14">
        <f>M76*'Øko. nøgletal'!M17</f>
        <v>1446.1583971839589</v>
      </c>
    </row>
    <row r="78" spans="1:13" ht="12.75">
      <c r="A78" t="s">
        <v>109</v>
      </c>
      <c r="B78" s="10">
        <f>B76-B77</f>
        <v>16042.9</v>
      </c>
      <c r="C78" s="10">
        <f aca="true" t="shared" si="27" ref="C78:M78">C76-C77</f>
        <v>17886.465</v>
      </c>
      <c r="D78" s="10">
        <f t="shared" si="27"/>
        <v>15203.49525</v>
      </c>
      <c r="E78" s="10">
        <f t="shared" si="27"/>
        <v>12922.9709625</v>
      </c>
      <c r="F78" s="10">
        <f t="shared" si="27"/>
        <v>10984.525318125</v>
      </c>
      <c r="G78" s="10">
        <f t="shared" si="27"/>
        <v>13586.846520406249</v>
      </c>
      <c r="H78" s="10">
        <f t="shared" si="27"/>
        <v>11548.81954234531</v>
      </c>
      <c r="I78" s="10">
        <f t="shared" si="27"/>
        <v>9816.496610993514</v>
      </c>
      <c r="J78" s="10">
        <f t="shared" si="27"/>
        <v>8344.022119344487</v>
      </c>
      <c r="K78" s="10">
        <f t="shared" si="27"/>
        <v>11342.418801442815</v>
      </c>
      <c r="L78" s="10">
        <f t="shared" si="27"/>
        <v>9641.055981226393</v>
      </c>
      <c r="M78" s="10">
        <f t="shared" si="27"/>
        <v>8194.897584042434</v>
      </c>
    </row>
    <row r="79" spans="2:13" ht="12.7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3.5" thickBot="1">
      <c r="A80" s="1" t="s">
        <v>115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ht="12.75">
      <c r="A81" t="s">
        <v>105</v>
      </c>
      <c r="B81" s="10">
        <v>8500</v>
      </c>
      <c r="C81" s="10">
        <f>B86</f>
        <v>7225</v>
      </c>
      <c r="D81" s="10">
        <f aca="true" t="shared" si="28" ref="D81:M81">C86</f>
        <v>6141.25</v>
      </c>
      <c r="E81" s="10">
        <f t="shared" si="28"/>
        <v>5220.0625</v>
      </c>
      <c r="F81" s="10">
        <f t="shared" si="28"/>
        <v>4437.053125</v>
      </c>
      <c r="G81" s="10">
        <f t="shared" si="28"/>
        <v>3771.4951562500005</v>
      </c>
      <c r="H81" s="10">
        <f t="shared" si="28"/>
        <v>3205.7708828125005</v>
      </c>
      <c r="I81" s="10">
        <f t="shared" si="28"/>
        <v>2724.9052503906255</v>
      </c>
      <c r="J81" s="10">
        <f t="shared" si="28"/>
        <v>2316.1694628320315</v>
      </c>
      <c r="K81" s="10">
        <f t="shared" si="28"/>
        <v>1968.7440434072269</v>
      </c>
      <c r="L81" s="10">
        <f t="shared" si="28"/>
        <v>1673.432436896143</v>
      </c>
      <c r="M81" s="10">
        <f t="shared" si="28"/>
        <v>1422.4175713617215</v>
      </c>
    </row>
    <row r="82" spans="1:13" ht="12.75">
      <c r="A82" t="s">
        <v>106</v>
      </c>
      <c r="B82" s="10">
        <f>Investeringsplan!B93</f>
        <v>0</v>
      </c>
      <c r="C82" s="10">
        <f>Investeringsplan!C93</f>
        <v>0</v>
      </c>
      <c r="D82" s="10">
        <f>Investeringsplan!D93</f>
        <v>0</v>
      </c>
      <c r="E82" s="10">
        <f>Investeringsplan!E93</f>
        <v>0</v>
      </c>
      <c r="F82" s="10">
        <f>Investeringsplan!F93</f>
        <v>0</v>
      </c>
      <c r="G82" s="10">
        <f>Investeringsplan!G93</f>
        <v>0</v>
      </c>
      <c r="H82" s="10">
        <f>Investeringsplan!H93</f>
        <v>0</v>
      </c>
      <c r="I82" s="10">
        <f>Investeringsplan!I93</f>
        <v>0</v>
      </c>
      <c r="J82" s="10">
        <f>Investeringsplan!J93</f>
        <v>0</v>
      </c>
      <c r="K82" s="10">
        <f>Investeringsplan!K93</f>
        <v>0</v>
      </c>
      <c r="L82" s="10">
        <f>Investeringsplan!L93</f>
        <v>0</v>
      </c>
      <c r="M82" s="10">
        <f>Investeringsplan!M93</f>
        <v>0</v>
      </c>
    </row>
    <row r="83" spans="1:13" ht="12.75">
      <c r="A83" t="s">
        <v>107</v>
      </c>
      <c r="B83" s="10">
        <f>Aktivsalg!B93</f>
        <v>0</v>
      </c>
      <c r="C83" s="10">
        <f>Aktivsalg!C93</f>
        <v>0</v>
      </c>
      <c r="D83" s="10">
        <f>Aktivsalg!D93</f>
        <v>0</v>
      </c>
      <c r="E83" s="10">
        <f>Aktivsalg!E93</f>
        <v>0</v>
      </c>
      <c r="F83" s="10">
        <f>Aktivsalg!F93</f>
        <v>0</v>
      </c>
      <c r="G83" s="10">
        <f>Aktivsalg!G93</f>
        <v>0</v>
      </c>
      <c r="H83" s="10">
        <f>Aktivsalg!H93</f>
        <v>0</v>
      </c>
      <c r="I83" s="10">
        <f>Aktivsalg!I93</f>
        <v>0</v>
      </c>
      <c r="J83" s="10">
        <f>Aktivsalg!J93</f>
        <v>0</v>
      </c>
      <c r="K83" s="10">
        <f>Aktivsalg!K93</f>
        <v>0</v>
      </c>
      <c r="L83" s="10">
        <f>Aktivsalg!L93</f>
        <v>0</v>
      </c>
      <c r="M83" s="10">
        <f>Aktivsalg!M93</f>
        <v>0</v>
      </c>
    </row>
    <row r="84" spans="1:13" ht="12.75">
      <c r="A84" t="s">
        <v>108</v>
      </c>
      <c r="B84" s="10">
        <f>B81+B82-B83</f>
        <v>8500</v>
      </c>
      <c r="C84" s="10">
        <f aca="true" t="shared" si="29" ref="C84:M84">C81+C82-C83</f>
        <v>7225</v>
      </c>
      <c r="D84" s="10">
        <f t="shared" si="29"/>
        <v>6141.25</v>
      </c>
      <c r="E84" s="10">
        <f t="shared" si="29"/>
        <v>5220.0625</v>
      </c>
      <c r="F84" s="10">
        <f t="shared" si="29"/>
        <v>4437.053125</v>
      </c>
      <c r="G84" s="10">
        <f t="shared" si="29"/>
        <v>3771.4951562500005</v>
      </c>
      <c r="H84" s="10">
        <f t="shared" si="29"/>
        <v>3205.7708828125005</v>
      </c>
      <c r="I84" s="10">
        <f t="shared" si="29"/>
        <v>2724.9052503906255</v>
      </c>
      <c r="J84" s="10">
        <f t="shared" si="29"/>
        <v>2316.1694628320315</v>
      </c>
      <c r="K84" s="10">
        <f t="shared" si="29"/>
        <v>1968.7440434072269</v>
      </c>
      <c r="L84" s="10">
        <f t="shared" si="29"/>
        <v>1673.432436896143</v>
      </c>
      <c r="M84" s="10">
        <f t="shared" si="29"/>
        <v>1422.4175713617215</v>
      </c>
    </row>
    <row r="85" spans="1:13" ht="13.5" thickBot="1">
      <c r="A85" s="1" t="s">
        <v>117</v>
      </c>
      <c r="B85" s="14">
        <f>B84*'Øko. nøgletal'!B17</f>
        <v>1275</v>
      </c>
      <c r="C85" s="14">
        <f>C84*'Øko. nøgletal'!C17</f>
        <v>1083.75</v>
      </c>
      <c r="D85" s="14">
        <f>D84*'Øko. nøgletal'!D17</f>
        <v>921.1875</v>
      </c>
      <c r="E85" s="14">
        <f>E84*'Øko. nøgletal'!E17</f>
        <v>783.009375</v>
      </c>
      <c r="F85" s="14">
        <f>F84*'Øko. nøgletal'!F17</f>
        <v>665.55796875</v>
      </c>
      <c r="G85" s="14">
        <f>G84*'Øko. nøgletal'!G17</f>
        <v>565.7242734375001</v>
      </c>
      <c r="H85" s="14">
        <f>H84*'Øko. nøgletal'!H17</f>
        <v>480.86563242187503</v>
      </c>
      <c r="I85" s="14">
        <f>I84*'Øko. nøgletal'!I17</f>
        <v>408.7357875585938</v>
      </c>
      <c r="J85" s="14">
        <f>J84*'Øko. nøgletal'!J17</f>
        <v>347.4254194248047</v>
      </c>
      <c r="K85" s="14">
        <f>K84*'Øko. nøgletal'!K17</f>
        <v>295.311606511084</v>
      </c>
      <c r="L85" s="14">
        <f>L84*'Øko. nøgletal'!L17</f>
        <v>251.01486553442143</v>
      </c>
      <c r="M85" s="14">
        <f>M84*'Øko. nøgletal'!M17</f>
        <v>213.36263570425822</v>
      </c>
    </row>
    <row r="86" spans="1:13" ht="12.75">
      <c r="A86" t="s">
        <v>109</v>
      </c>
      <c r="B86" s="10">
        <f>B84-B85</f>
        <v>7225</v>
      </c>
      <c r="C86" s="10">
        <f aca="true" t="shared" si="30" ref="C86:M86">C84-C85</f>
        <v>6141.25</v>
      </c>
      <c r="D86" s="10">
        <f t="shared" si="30"/>
        <v>5220.0625</v>
      </c>
      <c r="E86" s="10">
        <f t="shared" si="30"/>
        <v>4437.053125</v>
      </c>
      <c r="F86" s="10">
        <f t="shared" si="30"/>
        <v>3771.4951562500005</v>
      </c>
      <c r="G86" s="10">
        <f t="shared" si="30"/>
        <v>3205.7708828125005</v>
      </c>
      <c r="H86" s="10">
        <f t="shared" si="30"/>
        <v>2724.9052503906255</v>
      </c>
      <c r="I86" s="10">
        <f t="shared" si="30"/>
        <v>2316.1694628320315</v>
      </c>
      <c r="J86" s="10">
        <f t="shared" si="30"/>
        <v>1968.7440434072269</v>
      </c>
      <c r="K86" s="10">
        <f t="shared" si="30"/>
        <v>1673.432436896143</v>
      </c>
      <c r="L86" s="10">
        <f t="shared" si="30"/>
        <v>1422.4175713617215</v>
      </c>
      <c r="M86" s="10">
        <f t="shared" si="30"/>
        <v>1209.0549356574631</v>
      </c>
    </row>
    <row r="87" spans="2:13" ht="12.7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1:13" ht="13.5" thickBot="1">
      <c r="A88" s="1" t="s">
        <v>116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1:13" ht="12.75">
      <c r="A89" t="s">
        <v>105</v>
      </c>
      <c r="B89" s="10">
        <v>39882</v>
      </c>
      <c r="C89" s="10">
        <f>B94</f>
        <v>33899.7</v>
      </c>
      <c r="D89" s="10">
        <f aca="true" t="shared" si="31" ref="D89:M89">C94</f>
        <v>28814.745</v>
      </c>
      <c r="E89" s="10">
        <f t="shared" si="31"/>
        <v>32992.53324999999</v>
      </c>
      <c r="F89" s="10">
        <f t="shared" si="31"/>
        <v>28043.653262499996</v>
      </c>
      <c r="G89" s="10">
        <f t="shared" si="31"/>
        <v>23837.105273125</v>
      </c>
      <c r="H89" s="10">
        <f t="shared" si="31"/>
        <v>28761.539482156244</v>
      </c>
      <c r="I89" s="10">
        <f t="shared" si="31"/>
        <v>24447.308559832807</v>
      </c>
      <c r="J89" s="10">
        <f t="shared" si="31"/>
        <v>20780.212275857884</v>
      </c>
      <c r="K89" s="10">
        <f t="shared" si="31"/>
        <v>26163.180434479204</v>
      </c>
      <c r="L89" s="10">
        <f t="shared" si="31"/>
        <v>22238.703369307324</v>
      </c>
      <c r="M89" s="10">
        <f t="shared" si="31"/>
        <v>18902.897863911225</v>
      </c>
    </row>
    <row r="90" spans="1:13" ht="12.75">
      <c r="A90" t="s">
        <v>106</v>
      </c>
      <c r="B90" s="10">
        <f>Investeringsplan!B123</f>
        <v>0</v>
      </c>
      <c r="C90" s="10">
        <f>Investeringsplan!C123</f>
        <v>0</v>
      </c>
      <c r="D90" s="10">
        <f>Investeringsplan!D123</f>
        <v>10000</v>
      </c>
      <c r="E90" s="10">
        <f>Investeringsplan!E123</f>
        <v>0</v>
      </c>
      <c r="F90" s="10">
        <f>Investeringsplan!F123</f>
        <v>0</v>
      </c>
      <c r="G90" s="10">
        <f>Investeringsplan!G123</f>
        <v>10000</v>
      </c>
      <c r="H90" s="10">
        <f>Investeringsplan!H123</f>
        <v>0</v>
      </c>
      <c r="I90" s="10">
        <f>Investeringsplan!I123</f>
        <v>0</v>
      </c>
      <c r="J90" s="10">
        <f>Investeringsplan!J123</f>
        <v>10000</v>
      </c>
      <c r="K90" s="10">
        <f>Investeringsplan!K123</f>
        <v>0</v>
      </c>
      <c r="L90" s="10">
        <f>Investeringsplan!L123</f>
        <v>0</v>
      </c>
      <c r="M90" s="10">
        <f>Investeringsplan!M123</f>
        <v>10000</v>
      </c>
    </row>
    <row r="91" spans="1:13" ht="12.75">
      <c r="A91" t="s">
        <v>107</v>
      </c>
      <c r="B91" s="10">
        <f>Aktivsalg!B124</f>
        <v>0</v>
      </c>
      <c r="C91" s="10">
        <f>Aktivsalg!C124</f>
        <v>0</v>
      </c>
      <c r="D91" s="10">
        <f>Aktivsalg!D124</f>
        <v>0</v>
      </c>
      <c r="E91" s="10">
        <f>Aktivsalg!E124</f>
        <v>0</v>
      </c>
      <c r="F91" s="10">
        <f>Aktivsalg!F124</f>
        <v>0</v>
      </c>
      <c r="G91" s="10">
        <f>Aktivsalg!G124</f>
        <v>0</v>
      </c>
      <c r="H91" s="10">
        <f>Aktivsalg!H124</f>
        <v>0</v>
      </c>
      <c r="I91" s="10">
        <f>Aktivsalg!I124</f>
        <v>0</v>
      </c>
      <c r="J91" s="10">
        <f>Aktivsalg!J124</f>
        <v>0</v>
      </c>
      <c r="K91" s="10">
        <f>Aktivsalg!K124</f>
        <v>0</v>
      </c>
      <c r="L91" s="10">
        <f>Aktivsalg!L124</f>
        <v>0</v>
      </c>
      <c r="M91" s="10">
        <f>Aktivsalg!M124</f>
        <v>0</v>
      </c>
    </row>
    <row r="92" spans="1:13" ht="12.75">
      <c r="A92" t="s">
        <v>108</v>
      </c>
      <c r="B92" s="10">
        <f>B89+B90-B91</f>
        <v>39882</v>
      </c>
      <c r="C92" s="10">
        <f aca="true" t="shared" si="32" ref="C92:M92">C89+C90-C91</f>
        <v>33899.7</v>
      </c>
      <c r="D92" s="10">
        <f t="shared" si="32"/>
        <v>38814.744999999995</v>
      </c>
      <c r="E92" s="10">
        <f t="shared" si="32"/>
        <v>32992.53324999999</v>
      </c>
      <c r="F92" s="10">
        <f t="shared" si="32"/>
        <v>28043.653262499996</v>
      </c>
      <c r="G92" s="10">
        <f t="shared" si="32"/>
        <v>33837.105273124995</v>
      </c>
      <c r="H92" s="10">
        <f t="shared" si="32"/>
        <v>28761.539482156244</v>
      </c>
      <c r="I92" s="10">
        <f t="shared" si="32"/>
        <v>24447.308559832807</v>
      </c>
      <c r="J92" s="10">
        <f t="shared" si="32"/>
        <v>30780.212275857884</v>
      </c>
      <c r="K92" s="10">
        <f t="shared" si="32"/>
        <v>26163.180434479204</v>
      </c>
      <c r="L92" s="10">
        <f t="shared" si="32"/>
        <v>22238.703369307324</v>
      </c>
      <c r="M92" s="10">
        <f t="shared" si="32"/>
        <v>28902.897863911225</v>
      </c>
    </row>
    <row r="93" spans="1:13" ht="13.5" thickBot="1">
      <c r="A93" s="1" t="s">
        <v>117</v>
      </c>
      <c r="B93" s="14">
        <f>B92*'Øko. nøgletal'!B18</f>
        <v>5982.3</v>
      </c>
      <c r="C93" s="14">
        <f>C92*'Øko. nøgletal'!C18</f>
        <v>5084.954999999999</v>
      </c>
      <c r="D93" s="14">
        <f>D92*'Øko. nøgletal'!D18</f>
        <v>5822.2117499999995</v>
      </c>
      <c r="E93" s="14">
        <f>E92*'Øko. nøgletal'!E18</f>
        <v>4948.879987499999</v>
      </c>
      <c r="F93" s="14">
        <f>F92*'Øko. nøgletal'!F18</f>
        <v>4206.547989374999</v>
      </c>
      <c r="G93" s="14">
        <f>G92*'Øko. nøgletal'!G18</f>
        <v>5075.565790968749</v>
      </c>
      <c r="H93" s="14">
        <f>H92*'Øko. nøgletal'!H18</f>
        <v>4314.230922323436</v>
      </c>
      <c r="I93" s="14">
        <f>I92*'Øko. nøgletal'!I18</f>
        <v>3667.096283974921</v>
      </c>
      <c r="J93" s="14">
        <f>J92*'Øko. nøgletal'!J18</f>
        <v>4617.031841378683</v>
      </c>
      <c r="K93" s="14">
        <f>K92*'Øko. nøgletal'!K18</f>
        <v>3924.4770651718804</v>
      </c>
      <c r="L93" s="14">
        <f>L92*'Øko. nøgletal'!L18</f>
        <v>3335.8055053960984</v>
      </c>
      <c r="M93" s="14">
        <f>M92*'Øko. nøgletal'!M18</f>
        <v>4335.434679586683</v>
      </c>
    </row>
    <row r="94" spans="1:13" ht="12.75">
      <c r="A94" t="s">
        <v>109</v>
      </c>
      <c r="B94" s="10">
        <f>B92-B93</f>
        <v>33899.7</v>
      </c>
      <c r="C94" s="10">
        <f aca="true" t="shared" si="33" ref="C94:M94">C92-C93</f>
        <v>28814.745</v>
      </c>
      <c r="D94" s="10">
        <f t="shared" si="33"/>
        <v>32992.53324999999</v>
      </c>
      <c r="E94" s="10">
        <f t="shared" si="33"/>
        <v>28043.653262499996</v>
      </c>
      <c r="F94" s="10">
        <f t="shared" si="33"/>
        <v>23837.105273125</v>
      </c>
      <c r="G94" s="10">
        <f t="shared" si="33"/>
        <v>28761.539482156244</v>
      </c>
      <c r="H94" s="10">
        <f t="shared" si="33"/>
        <v>24447.308559832807</v>
      </c>
      <c r="I94" s="10">
        <f t="shared" si="33"/>
        <v>20780.212275857884</v>
      </c>
      <c r="J94" s="10">
        <f t="shared" si="33"/>
        <v>26163.180434479204</v>
      </c>
      <c r="K94" s="10">
        <f t="shared" si="33"/>
        <v>22238.703369307324</v>
      </c>
      <c r="L94" s="10">
        <f t="shared" si="33"/>
        <v>18902.897863911225</v>
      </c>
      <c r="M94" s="10">
        <f t="shared" si="33"/>
        <v>24567.46318432454</v>
      </c>
    </row>
    <row r="95" spans="2:13" ht="12.7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13" ht="13.5" thickBot="1">
      <c r="A96" s="1" t="s">
        <v>216</v>
      </c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13" ht="12.75">
      <c r="A97" t="s">
        <v>105</v>
      </c>
      <c r="B97" s="20">
        <v>52240</v>
      </c>
      <c r="C97" s="20">
        <v>52240</v>
      </c>
      <c r="D97" s="20">
        <v>52240</v>
      </c>
      <c r="E97" s="20">
        <v>52240</v>
      </c>
      <c r="F97" s="20">
        <v>52240</v>
      </c>
      <c r="G97" s="20">
        <v>52240</v>
      </c>
      <c r="H97" s="20">
        <v>52240</v>
      </c>
      <c r="I97" s="20">
        <v>52240</v>
      </c>
      <c r="J97" s="20">
        <v>52240</v>
      </c>
      <c r="K97" s="20">
        <v>52240</v>
      </c>
      <c r="L97" s="20">
        <v>52240</v>
      </c>
      <c r="M97" s="20">
        <v>52240</v>
      </c>
    </row>
    <row r="98" spans="1:13" ht="12.75">
      <c r="A98" t="s">
        <v>106</v>
      </c>
      <c r="B98" s="10">
        <v>0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</row>
    <row r="99" spans="1:13" ht="12.75">
      <c r="A99" t="s">
        <v>107</v>
      </c>
      <c r="B99" s="10">
        <v>0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</row>
    <row r="100" spans="1:13" ht="12.75">
      <c r="A100" t="s">
        <v>108</v>
      </c>
      <c r="B100" s="10">
        <f>B97+B98-B99</f>
        <v>52240</v>
      </c>
      <c r="C100" s="10">
        <f aca="true" t="shared" si="34" ref="C100:M100">C97+C98-C99</f>
        <v>52240</v>
      </c>
      <c r="D100" s="10">
        <f t="shared" si="34"/>
        <v>52240</v>
      </c>
      <c r="E100" s="10">
        <f t="shared" si="34"/>
        <v>52240</v>
      </c>
      <c r="F100" s="10">
        <f t="shared" si="34"/>
        <v>52240</v>
      </c>
      <c r="G100" s="10">
        <f t="shared" si="34"/>
        <v>52240</v>
      </c>
      <c r="H100" s="10">
        <f t="shared" si="34"/>
        <v>52240</v>
      </c>
      <c r="I100" s="10">
        <f t="shared" si="34"/>
        <v>52240</v>
      </c>
      <c r="J100" s="10">
        <f t="shared" si="34"/>
        <v>52240</v>
      </c>
      <c r="K100" s="10">
        <f t="shared" si="34"/>
        <v>52240</v>
      </c>
      <c r="L100" s="10">
        <f t="shared" si="34"/>
        <v>52240</v>
      </c>
      <c r="M100" s="10">
        <f t="shared" si="34"/>
        <v>52240</v>
      </c>
    </row>
    <row r="101" spans="1:13" ht="13.5" thickBot="1">
      <c r="A101" s="1" t="s">
        <v>117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</row>
    <row r="102" spans="1:13" ht="12.75">
      <c r="A102" t="s">
        <v>109</v>
      </c>
      <c r="B102" s="10">
        <f>B100-B101</f>
        <v>52240</v>
      </c>
      <c r="C102" s="10">
        <f aca="true" t="shared" si="35" ref="C102:M102">C100-C101</f>
        <v>52240</v>
      </c>
      <c r="D102" s="10">
        <f t="shared" si="35"/>
        <v>52240</v>
      </c>
      <c r="E102" s="10">
        <f t="shared" si="35"/>
        <v>52240</v>
      </c>
      <c r="F102" s="10">
        <f t="shared" si="35"/>
        <v>52240</v>
      </c>
      <c r="G102" s="10">
        <f t="shared" si="35"/>
        <v>52240</v>
      </c>
      <c r="H102" s="10">
        <f t="shared" si="35"/>
        <v>52240</v>
      </c>
      <c r="I102" s="10">
        <f t="shared" si="35"/>
        <v>52240</v>
      </c>
      <c r="J102" s="10">
        <f t="shared" si="35"/>
        <v>52240</v>
      </c>
      <c r="K102" s="10">
        <f t="shared" si="35"/>
        <v>52240</v>
      </c>
      <c r="L102" s="10">
        <f t="shared" si="35"/>
        <v>52240</v>
      </c>
      <c r="M102" s="10">
        <f t="shared" si="35"/>
        <v>52240</v>
      </c>
    </row>
    <row r="103" spans="1:13" ht="12.75">
      <c r="A103" s="2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1:13" ht="13.5" thickBot="1">
      <c r="A104" t="s">
        <v>215</v>
      </c>
      <c r="B104" s="16">
        <f>B9+B17+B25+B35+B43+B51+B59+B67+B77+B85+B93+B101</f>
        <v>145402.3333333333</v>
      </c>
      <c r="C104" s="16">
        <f aca="true" t="shared" si="36" ref="C104:M104">C9+C17+C25+C35+C43+C51+C59+C67+C77+C85+C93</f>
        <v>180978.75333333333</v>
      </c>
      <c r="D104" s="16">
        <f t="shared" si="36"/>
        <v>177718.7103333333</v>
      </c>
      <c r="E104" s="16">
        <f t="shared" si="36"/>
        <v>180947.67378333333</v>
      </c>
      <c r="F104" s="16">
        <f t="shared" si="36"/>
        <v>173192.29271583332</v>
      </c>
      <c r="G104" s="16">
        <f t="shared" si="36"/>
        <v>174850.2188084583</v>
      </c>
      <c r="H104" s="16">
        <f t="shared" si="36"/>
        <v>163509.45598718955</v>
      </c>
      <c r="I104" s="16">
        <f t="shared" si="36"/>
        <v>151619.80758911115</v>
      </c>
      <c r="J104" s="16">
        <f t="shared" si="36"/>
        <v>145263.60645074444</v>
      </c>
      <c r="K104" s="16">
        <f t="shared" si="36"/>
        <v>138360.8354831328</v>
      </c>
      <c r="L104" s="16">
        <f t="shared" si="36"/>
        <v>143743.48016066288</v>
      </c>
      <c r="M104" s="16">
        <f t="shared" si="36"/>
        <v>185068.72813656344</v>
      </c>
    </row>
    <row r="105" ht="13.5" thickTop="1"/>
  </sheetData>
  <printOptions/>
  <pageMargins left="0.75" right="0.75" top="1" bottom="1" header="0.5" footer="0.5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2">
      <selection activeCell="E43" sqref="E43"/>
    </sheetView>
  </sheetViews>
  <sheetFormatPr defaultColWidth="9.140625" defaultRowHeight="12.75"/>
  <cols>
    <col min="1" max="1" width="22.7109375" style="0" customWidth="1"/>
    <col min="2" max="2" width="9.8515625" style="0" customWidth="1"/>
    <col min="5" max="5" width="16.7109375" style="0" customWidth="1"/>
  </cols>
  <sheetData>
    <row r="1" ht="12.75">
      <c r="A1" t="s">
        <v>236</v>
      </c>
    </row>
    <row r="3" spans="1:3" ht="12.75">
      <c r="A3" t="s">
        <v>237</v>
      </c>
      <c r="B3" s="23" t="s">
        <v>238</v>
      </c>
      <c r="C3">
        <v>146</v>
      </c>
    </row>
    <row r="4" spans="1:3" ht="12.75">
      <c r="A4" t="s">
        <v>239</v>
      </c>
      <c r="B4" s="23" t="s">
        <v>238</v>
      </c>
      <c r="C4">
        <v>26</v>
      </c>
    </row>
    <row r="6" spans="1:5" ht="13.5" thickBot="1">
      <c r="A6" s="1" t="s">
        <v>240</v>
      </c>
      <c r="E6" s="23" t="s">
        <v>244</v>
      </c>
    </row>
    <row r="7" spans="1:5" ht="12.75">
      <c r="A7" t="s">
        <v>104</v>
      </c>
      <c r="B7" s="23" t="s">
        <v>242</v>
      </c>
      <c r="C7" s="10">
        <v>543000</v>
      </c>
      <c r="E7" s="10">
        <v>0</v>
      </c>
    </row>
    <row r="8" spans="1:5" ht="12.75">
      <c r="A8" t="s">
        <v>241</v>
      </c>
      <c r="B8" s="23" t="s">
        <v>242</v>
      </c>
      <c r="C8" s="10">
        <v>69375</v>
      </c>
      <c r="E8" s="10">
        <f>200000/1200</f>
        <v>166.66666666666666</v>
      </c>
    </row>
    <row r="9" spans="1:5" ht="12.75">
      <c r="A9" s="2" t="s">
        <v>231</v>
      </c>
      <c r="B9" s="24" t="s">
        <v>242</v>
      </c>
      <c r="C9" s="20">
        <v>50000</v>
      </c>
      <c r="E9" s="10">
        <f>C9/6/C3</f>
        <v>57.07762557077626</v>
      </c>
    </row>
    <row r="10" spans="1:5" ht="13.5" thickBot="1">
      <c r="A10" s="5" t="s">
        <v>243</v>
      </c>
      <c r="B10" s="25" t="s">
        <v>242</v>
      </c>
      <c r="C10" s="16">
        <f>SUM(C7:C9)</f>
        <v>662375</v>
      </c>
      <c r="E10" s="16">
        <f>SUM(E7:E9)</f>
        <v>223.74429223744292</v>
      </c>
    </row>
    <row r="11" ht="13.5" thickTop="1"/>
    <row r="12" spans="1:5" ht="13.5" thickBot="1">
      <c r="A12" s="1" t="s">
        <v>245</v>
      </c>
      <c r="D12" s="23" t="s">
        <v>249</v>
      </c>
      <c r="E12" s="23" t="s">
        <v>250</v>
      </c>
    </row>
    <row r="13" spans="1:5" ht="12.75">
      <c r="A13" t="s">
        <v>246</v>
      </c>
      <c r="B13" s="23" t="s">
        <v>248</v>
      </c>
      <c r="C13">
        <v>18</v>
      </c>
      <c r="D13">
        <v>10.5</v>
      </c>
      <c r="E13" s="10">
        <f>C13*D13</f>
        <v>189</v>
      </c>
    </row>
    <row r="14" spans="1:5" ht="12.75">
      <c r="A14" t="s">
        <v>247</v>
      </c>
      <c r="B14" s="23" t="s">
        <v>248</v>
      </c>
      <c r="C14">
        <v>25</v>
      </c>
      <c r="D14">
        <v>10.5</v>
      </c>
      <c r="E14" s="10">
        <f>C14*D14</f>
        <v>262.5</v>
      </c>
    </row>
    <row r="15" spans="2:5" ht="12.75">
      <c r="B15" s="23"/>
      <c r="E15" s="10"/>
    </row>
    <row r="16" spans="1:5" ht="13.5" thickBot="1">
      <c r="A16" s="1" t="s">
        <v>251</v>
      </c>
      <c r="E16" s="23" t="s">
        <v>250</v>
      </c>
    </row>
    <row r="17" spans="1:5" ht="12.75">
      <c r="A17" t="s">
        <v>252</v>
      </c>
      <c r="C17" s="10">
        <v>20000</v>
      </c>
      <c r="E17" s="10">
        <f>C17/(C3+C4)</f>
        <v>116.27906976744185</v>
      </c>
    </row>
    <row r="18" spans="1:5" ht="12.75">
      <c r="A18" t="s">
        <v>253</v>
      </c>
      <c r="C18" s="10">
        <v>49212</v>
      </c>
      <c r="E18" s="10">
        <f>C18/(C3+C4)</f>
        <v>286.1162790697674</v>
      </c>
    </row>
    <row r="20" ht="13.5" thickBot="1">
      <c r="A20" s="1" t="s">
        <v>254</v>
      </c>
    </row>
    <row r="21" spans="1:5" ht="12.75">
      <c r="A21" t="s">
        <v>255</v>
      </c>
      <c r="B21" s="4">
        <v>0.03</v>
      </c>
      <c r="C21" s="10">
        <f>C10*B21</f>
        <v>19871.25</v>
      </c>
      <c r="D21" s="10"/>
      <c r="E21" s="10">
        <f>C21/(C3+C4)</f>
        <v>115.53052325581395</v>
      </c>
    </row>
    <row r="22" spans="1:5" ht="12.75">
      <c r="A22" t="s">
        <v>256</v>
      </c>
      <c r="B22" s="4">
        <v>0.09</v>
      </c>
      <c r="C22" s="10">
        <f>C10*B22</f>
        <v>59613.75</v>
      </c>
      <c r="D22" s="10"/>
      <c r="E22" s="10">
        <f>C22/(C3+C4)</f>
        <v>346.59156976744185</v>
      </c>
    </row>
    <row r="23" spans="6:9" ht="12.75">
      <c r="F23" s="31" t="s">
        <v>247</v>
      </c>
      <c r="G23" s="31"/>
      <c r="H23" s="31"/>
      <c r="I23" s="31"/>
    </row>
    <row r="24" spans="1:9" ht="13.5" thickBot="1">
      <c r="A24" s="1" t="s">
        <v>262</v>
      </c>
      <c r="B24" s="23" t="s">
        <v>7</v>
      </c>
      <c r="C24" s="23" t="s">
        <v>6</v>
      </c>
      <c r="D24" s="23" t="s">
        <v>8</v>
      </c>
      <c r="E24" s="23" t="s">
        <v>263</v>
      </c>
      <c r="F24" s="23" t="s">
        <v>7</v>
      </c>
      <c r="G24" s="23" t="s">
        <v>6</v>
      </c>
      <c r="H24" s="23" t="s">
        <v>8</v>
      </c>
      <c r="I24" s="23" t="s">
        <v>263</v>
      </c>
    </row>
    <row r="25" spans="1:9" ht="12.75">
      <c r="A25" t="s">
        <v>257</v>
      </c>
      <c r="B25" s="10">
        <v>189</v>
      </c>
      <c r="C25" s="10">
        <v>189</v>
      </c>
      <c r="D25" s="10">
        <v>189</v>
      </c>
      <c r="E25" s="10">
        <v>189</v>
      </c>
      <c r="F25" s="10">
        <v>263</v>
      </c>
      <c r="G25" s="10">
        <v>263</v>
      </c>
      <c r="H25" s="10">
        <v>263</v>
      </c>
      <c r="I25" s="10">
        <v>263</v>
      </c>
    </row>
    <row r="26" spans="1:9" ht="12.75">
      <c r="A26" t="s">
        <v>251</v>
      </c>
      <c r="B26" s="10">
        <v>286</v>
      </c>
      <c r="C26" s="10">
        <v>286</v>
      </c>
      <c r="D26" s="10">
        <v>286</v>
      </c>
      <c r="E26" s="10">
        <v>286</v>
      </c>
      <c r="F26" s="10">
        <v>286</v>
      </c>
      <c r="G26" s="10">
        <v>286</v>
      </c>
      <c r="H26" s="10">
        <v>286</v>
      </c>
      <c r="I26" s="10">
        <v>286</v>
      </c>
    </row>
    <row r="27" spans="1:9" ht="12.75">
      <c r="A27" t="s">
        <v>258</v>
      </c>
      <c r="B27" s="10"/>
      <c r="C27" s="10">
        <f>E8*6/10</f>
        <v>100</v>
      </c>
      <c r="D27" s="10">
        <v>167</v>
      </c>
      <c r="E27" s="10">
        <v>167</v>
      </c>
      <c r="F27" s="10"/>
      <c r="G27" s="10">
        <f>I8*6/10</f>
        <v>0</v>
      </c>
      <c r="H27" s="10">
        <v>167</v>
      </c>
      <c r="I27" s="10">
        <v>167</v>
      </c>
    </row>
    <row r="28" spans="1:9" ht="12.75">
      <c r="A28" t="s">
        <v>259</v>
      </c>
      <c r="B28" s="10"/>
      <c r="C28" s="10">
        <f>57*6/10</f>
        <v>34.2</v>
      </c>
      <c r="D28" s="10">
        <v>57</v>
      </c>
      <c r="E28" s="10">
        <v>57</v>
      </c>
      <c r="F28" s="10"/>
      <c r="G28" s="10">
        <f>57*6/10</f>
        <v>34.2</v>
      </c>
      <c r="H28" s="10">
        <v>57</v>
      </c>
      <c r="I28" s="10">
        <v>57</v>
      </c>
    </row>
    <row r="29" spans="1:9" ht="12.75">
      <c r="A29" t="s">
        <v>260</v>
      </c>
      <c r="B29" s="10"/>
      <c r="C29" s="10">
        <v>116</v>
      </c>
      <c r="D29" s="10"/>
      <c r="E29" s="10">
        <v>0</v>
      </c>
      <c r="F29" s="10"/>
      <c r="G29" s="10">
        <v>116</v>
      </c>
      <c r="H29" s="10"/>
      <c r="I29" s="10">
        <v>0</v>
      </c>
    </row>
    <row r="30" spans="1:9" ht="12.75">
      <c r="A30" t="s">
        <v>261</v>
      </c>
      <c r="B30" s="10"/>
      <c r="C30" s="10"/>
      <c r="D30" s="10">
        <v>347</v>
      </c>
      <c r="E30" s="10">
        <v>347</v>
      </c>
      <c r="F30" s="10"/>
      <c r="G30" s="10"/>
      <c r="H30" s="10">
        <v>347</v>
      </c>
      <c r="I30" s="10">
        <v>347</v>
      </c>
    </row>
    <row r="31" spans="1:9" ht="13.5" thickBot="1">
      <c r="A31" s="5" t="s">
        <v>243</v>
      </c>
      <c r="B31" s="16">
        <f>SUM(B25:B30)</f>
        <v>475</v>
      </c>
      <c r="C31" s="16">
        <f aca="true" t="shared" si="0" ref="C31:I31">SUM(C25:C30)</f>
        <v>725.2</v>
      </c>
      <c r="D31" s="16">
        <f t="shared" si="0"/>
        <v>1046</v>
      </c>
      <c r="E31" s="16">
        <f t="shared" si="0"/>
        <v>1046</v>
      </c>
      <c r="F31" s="16">
        <f t="shared" si="0"/>
        <v>549</v>
      </c>
      <c r="G31" s="16">
        <f t="shared" si="0"/>
        <v>699.2</v>
      </c>
      <c r="H31" s="16">
        <f t="shared" si="0"/>
        <v>1120</v>
      </c>
      <c r="I31" s="16">
        <f t="shared" si="0"/>
        <v>1120</v>
      </c>
    </row>
    <row r="32" ht="13.5" thickTop="1"/>
    <row r="34" ht="12.75">
      <c r="A34" t="s">
        <v>281</v>
      </c>
    </row>
    <row r="35" spans="1:4" ht="12.75">
      <c r="A35" t="s">
        <v>264</v>
      </c>
      <c r="B35" s="23" t="s">
        <v>7</v>
      </c>
      <c r="C35" s="23" t="s">
        <v>6</v>
      </c>
      <c r="D35" s="23" t="s">
        <v>8</v>
      </c>
    </row>
    <row r="36" spans="1:4" ht="12.75">
      <c r="A36" t="s">
        <v>257</v>
      </c>
      <c r="B36" s="10">
        <f>12*10.5</f>
        <v>126</v>
      </c>
      <c r="C36" s="10">
        <f>12*10.5</f>
        <v>126</v>
      </c>
      <c r="D36" s="10">
        <f>12*10.5</f>
        <v>126</v>
      </c>
    </row>
    <row r="37" spans="1:4" ht="12.75">
      <c r="A37" t="s">
        <v>251</v>
      </c>
      <c r="B37" s="10">
        <f>846/5</f>
        <v>169.2</v>
      </c>
      <c r="C37" s="10">
        <f>846/5</f>
        <v>169.2</v>
      </c>
      <c r="D37" s="10">
        <f>846/5</f>
        <v>169.2</v>
      </c>
    </row>
    <row r="38" spans="1:4" ht="13.5" thickBot="1">
      <c r="A38" s="5" t="s">
        <v>243</v>
      </c>
      <c r="B38" s="16">
        <f>SUM(B36:B37)</f>
        <v>295.2</v>
      </c>
      <c r="C38" s="16">
        <f>SUM(C36:C37)</f>
        <v>295.2</v>
      </c>
      <c r="D38" s="16">
        <f>SUM(D36:D37)</f>
        <v>295.2</v>
      </c>
    </row>
    <row r="39" ht="13.5" thickTop="1"/>
  </sheetData>
  <mergeCells count="1">
    <mergeCell ref="F23:I2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2"/>
  <sheetViews>
    <sheetView workbookViewId="0" topLeftCell="A101">
      <selection activeCell="C100" sqref="C100"/>
    </sheetView>
  </sheetViews>
  <sheetFormatPr defaultColWidth="9.140625" defaultRowHeight="12.75"/>
  <cols>
    <col min="1" max="1" width="25.57421875" style="0" customWidth="1"/>
  </cols>
  <sheetData>
    <row r="1" ht="13.5" thickBot="1">
      <c r="A1" s="1" t="s">
        <v>125</v>
      </c>
    </row>
    <row r="2" spans="2:14" ht="13.5" thickBot="1">
      <c r="B2" s="6">
        <v>2008</v>
      </c>
      <c r="C2" s="7">
        <v>2009</v>
      </c>
      <c r="D2" s="7">
        <v>2010</v>
      </c>
      <c r="E2" s="7">
        <v>2011</v>
      </c>
      <c r="F2" s="7">
        <v>2012</v>
      </c>
      <c r="G2" s="7">
        <v>2013</v>
      </c>
      <c r="H2" s="7">
        <v>2014</v>
      </c>
      <c r="I2" s="7">
        <v>2015</v>
      </c>
      <c r="J2" s="7">
        <v>2016</v>
      </c>
      <c r="K2" s="7">
        <v>2017</v>
      </c>
      <c r="L2" s="7">
        <v>2018</v>
      </c>
      <c r="M2" s="7">
        <v>2019</v>
      </c>
      <c r="N2" s="8">
        <v>2020</v>
      </c>
    </row>
    <row r="3" spans="1:2" ht="13.5" thickBot="1">
      <c r="A3" s="15" t="s">
        <v>126</v>
      </c>
      <c r="B3">
        <v>448632</v>
      </c>
    </row>
    <row r="4" ht="13.5" thickBot="1">
      <c r="A4" s="1" t="s">
        <v>5</v>
      </c>
    </row>
    <row r="5" spans="1:14" ht="12.75">
      <c r="A5" t="s">
        <v>7</v>
      </c>
      <c r="B5">
        <v>0</v>
      </c>
      <c r="C5" s="10">
        <f>Takstblad!C5*Medlemsstatus!C5*12</f>
        <v>180000</v>
      </c>
      <c r="D5" s="10">
        <f>Takstblad!D5*Medlemsstatus!D5*12</f>
        <v>185400</v>
      </c>
      <c r="E5" s="10">
        <f>Takstblad!E5*Medlemsstatus!E5*12</f>
        <v>190962</v>
      </c>
      <c r="F5" s="10">
        <f>Takstblad!F5*Medlemsstatus!F5*12</f>
        <v>196690.86</v>
      </c>
      <c r="G5" s="10">
        <f>Takstblad!G5*Medlemsstatus!G5*12</f>
        <v>202591.58579999997</v>
      </c>
      <c r="H5" s="10">
        <f>Takstblad!H5*Medlemsstatus!H5*12</f>
        <v>208669.33337399995</v>
      </c>
      <c r="I5" s="10">
        <f>Takstblad!I5*Medlemsstatus!I5*12</f>
        <v>214929.41337521997</v>
      </c>
      <c r="J5" s="10">
        <f>Takstblad!J5*Medlemsstatus!J5*12</f>
        <v>221377.29577647656</v>
      </c>
      <c r="K5" s="10">
        <f>Takstblad!K5*Medlemsstatus!K5*12</f>
        <v>228018.61464977087</v>
      </c>
      <c r="L5" s="10">
        <f>Takstblad!L5*Medlemsstatus!L5*12</f>
        <v>234859.17308926396</v>
      </c>
      <c r="M5" s="10">
        <f>Takstblad!M5*Medlemsstatus!M5*12</f>
        <v>241904.94828194188</v>
      </c>
      <c r="N5" s="10">
        <f>Takstblad!N5*Medlemsstatus!N5*12</f>
        <v>249162.09673040017</v>
      </c>
    </row>
    <row r="6" spans="1:14" ht="12.75">
      <c r="A6" t="s">
        <v>6</v>
      </c>
      <c r="C6" s="10">
        <f>Takstblad!C6*Medlemsstatus!C6*12</f>
        <v>57600</v>
      </c>
      <c r="D6" s="10">
        <f>Takstblad!D6*Medlemsstatus!D6*12</f>
        <v>59328</v>
      </c>
      <c r="E6" s="10">
        <f>Takstblad!E6*Medlemsstatus!E6*12</f>
        <v>61107.84</v>
      </c>
      <c r="F6" s="10">
        <f>Takstblad!F6*Medlemsstatus!F6*12</f>
        <v>62941.07520000001</v>
      </c>
      <c r="G6" s="10">
        <f>Takstblad!G6*Medlemsstatus!G6*12</f>
        <v>64829.307456</v>
      </c>
      <c r="H6" s="10">
        <f>Takstblad!H6*Medlemsstatus!H6*12</f>
        <v>66774.18667968</v>
      </c>
      <c r="I6" s="10">
        <f>Takstblad!I6*Medlemsstatus!I6*12</f>
        <v>68777.4122800704</v>
      </c>
      <c r="J6" s="10">
        <f>Takstblad!J6*Medlemsstatus!J6*12</f>
        <v>70840.73464847251</v>
      </c>
      <c r="K6" s="10">
        <f>Takstblad!K6*Medlemsstatus!K6*12</f>
        <v>72965.95668792668</v>
      </c>
      <c r="L6" s="10">
        <f>Takstblad!L6*Medlemsstatus!L6*12</f>
        <v>75154.93538856448</v>
      </c>
      <c r="M6" s="10">
        <f>Takstblad!M6*Medlemsstatus!M6*12</f>
        <v>77409.58345022141</v>
      </c>
      <c r="N6" s="10">
        <f>Takstblad!N6*Medlemsstatus!N6*12</f>
        <v>79731.87095372805</v>
      </c>
    </row>
    <row r="7" spans="1:14" ht="12.75">
      <c r="A7" t="s">
        <v>8</v>
      </c>
      <c r="C7" s="10">
        <f>Takstblad!C7*Medlemsstatus!C7</f>
        <v>9025</v>
      </c>
      <c r="D7" s="10">
        <f>Takstblad!D7*Medlemsstatus!D7</f>
        <v>9295.75</v>
      </c>
      <c r="E7" s="10">
        <f>Takstblad!E7*Medlemsstatus!E7</f>
        <v>9574.6225</v>
      </c>
      <c r="F7" s="10">
        <f>Takstblad!F7*Medlemsstatus!F7</f>
        <v>9861.861175000002</v>
      </c>
      <c r="G7" s="10">
        <f>Takstblad!G7*Medlemsstatus!G7</f>
        <v>10157.717010250002</v>
      </c>
      <c r="H7" s="10">
        <f>Takstblad!H7*Medlemsstatus!H7</f>
        <v>10462.448520557504</v>
      </c>
      <c r="I7" s="10">
        <f>Takstblad!I7*Medlemsstatus!I7</f>
        <v>10776.321976174228</v>
      </c>
      <c r="J7" s="10">
        <f>Takstblad!J7*Medlemsstatus!J7</f>
        <v>11099.611635459454</v>
      </c>
      <c r="K7" s="10">
        <f>Takstblad!K7*Medlemsstatus!K7</f>
        <v>11432.599984523236</v>
      </c>
      <c r="L7" s="10">
        <f>Takstblad!L7*Medlemsstatus!L7</f>
        <v>11775.577984058933</v>
      </c>
      <c r="M7" s="10">
        <f>Takstblad!M7*Medlemsstatus!M7</f>
        <v>12128.845323580701</v>
      </c>
      <c r="N7" s="10">
        <f>Takstblad!N7*Medlemsstatus!N7</f>
        <v>12492.710683288122</v>
      </c>
    </row>
    <row r="8" spans="1:14" ht="12.75">
      <c r="A8" t="s">
        <v>17</v>
      </c>
      <c r="C8" s="10">
        <f>0+Medlemsstatus!C8*Takstblad!C8*12</f>
        <v>0</v>
      </c>
      <c r="D8" s="10">
        <f>0+Medlemsstatus!D8*Takstblad!D8*12</f>
        <v>0</v>
      </c>
      <c r="E8" s="10">
        <f>0+Medlemsstatus!E8*Takstblad!E8*12</f>
        <v>0</v>
      </c>
      <c r="F8" s="10">
        <f>0+Medlemsstatus!F8*Takstblad!F8*12</f>
        <v>0</v>
      </c>
      <c r="G8" s="10">
        <f>0+Medlemsstatus!G8*Takstblad!G8*12</f>
        <v>0</v>
      </c>
      <c r="H8" s="10">
        <f>0+Medlemsstatus!H8*Takstblad!H8*12</f>
        <v>0</v>
      </c>
      <c r="I8" s="10">
        <f>0+Medlemsstatus!I8*Takstblad!I8*12</f>
        <v>0</v>
      </c>
      <c r="J8" s="10">
        <f>0+Medlemsstatus!J8*Takstblad!J8*12</f>
        <v>0</v>
      </c>
      <c r="K8" s="10">
        <f>0+Medlemsstatus!K8*Takstblad!K8*12</f>
        <v>0</v>
      </c>
      <c r="L8" s="10">
        <f>0+Medlemsstatus!L8*Takstblad!L8*12</f>
        <v>0</v>
      </c>
      <c r="M8" s="10">
        <f>0+Medlemsstatus!M8*Takstblad!M8*12</f>
        <v>0</v>
      </c>
      <c r="N8" s="10">
        <f>0+Medlemsstatus!N8*Takstblad!N8*12</f>
        <v>0</v>
      </c>
    </row>
    <row r="9" spans="3:14" ht="12.75"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13.5" thickBot="1">
      <c r="A10" s="1" t="s">
        <v>16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2.75">
      <c r="A11" t="s">
        <v>7</v>
      </c>
      <c r="C11" s="10">
        <f>Takstblad!C11*Medlemsstatus!C11*12</f>
        <v>12960</v>
      </c>
      <c r="D11" s="10">
        <f>Takstblad!D11*Medlemsstatus!D11*12</f>
        <v>13348.800000000001</v>
      </c>
      <c r="E11" s="10">
        <f>Takstblad!E11*Medlemsstatus!E11*12</f>
        <v>13749.264000000003</v>
      </c>
      <c r="F11" s="10">
        <f>Takstblad!F11*Medlemsstatus!F11*12</f>
        <v>14161.74192</v>
      </c>
      <c r="G11" s="10">
        <f>Takstblad!G11*Medlemsstatus!G11*12</f>
        <v>14586.5941776</v>
      </c>
      <c r="H11" s="10">
        <f>Takstblad!H11*Medlemsstatus!H11*12</f>
        <v>15024.192002928003</v>
      </c>
      <c r="I11" s="10">
        <f>Takstblad!I11*Medlemsstatus!I11*12</f>
        <v>15474.91776301584</v>
      </c>
      <c r="J11" s="10">
        <f>Takstblad!J11*Medlemsstatus!J11*12</f>
        <v>15939.165295906318</v>
      </c>
      <c r="K11" s="10">
        <f>Takstblad!K11*Medlemsstatus!K11*12</f>
        <v>16417.340254783507</v>
      </c>
      <c r="L11" s="10">
        <f>Takstblad!L11*Medlemsstatus!L11*12</f>
        <v>16909.860462427012</v>
      </c>
      <c r="M11" s="10">
        <f>Takstblad!M11*Medlemsstatus!M11*12</f>
        <v>17417.156276299822</v>
      </c>
      <c r="N11" s="10">
        <f>Takstblad!N11*Medlemsstatus!N11*12</f>
        <v>17939.670964588815</v>
      </c>
    </row>
    <row r="12" spans="1:14" ht="12.75">
      <c r="A12" t="s">
        <v>6</v>
      </c>
      <c r="C12" s="10">
        <f>Takstblad!C12*Medlemsstatus!C12*12</f>
        <v>0</v>
      </c>
      <c r="D12" s="10">
        <f>Takstblad!D12*Medlemsstatus!D12*12</f>
        <v>0</v>
      </c>
      <c r="E12" s="10">
        <f>Takstblad!E12*Medlemsstatus!E12*12</f>
        <v>0</v>
      </c>
      <c r="F12" s="10">
        <f>Takstblad!F12*Medlemsstatus!F12*12</f>
        <v>0</v>
      </c>
      <c r="G12" s="10">
        <f>Takstblad!G12*Medlemsstatus!G12*12</f>
        <v>0</v>
      </c>
      <c r="H12" s="10">
        <f>Takstblad!H12*Medlemsstatus!H12*12</f>
        <v>0</v>
      </c>
      <c r="I12" s="10">
        <f>Takstblad!I12*Medlemsstatus!I12*12</f>
        <v>0</v>
      </c>
      <c r="J12" s="10">
        <f>Takstblad!J12*Medlemsstatus!J12*12</f>
        <v>0</v>
      </c>
      <c r="K12" s="10">
        <f>Takstblad!K12*Medlemsstatus!K12*12</f>
        <v>0</v>
      </c>
      <c r="L12" s="10">
        <f>Takstblad!L12*Medlemsstatus!L12*12</f>
        <v>0</v>
      </c>
      <c r="M12" s="10">
        <f>Takstblad!M12*Medlemsstatus!M12*12</f>
        <v>0</v>
      </c>
      <c r="N12" s="10">
        <f>Takstblad!N12*Medlemsstatus!N12*12</f>
        <v>0</v>
      </c>
    </row>
    <row r="13" spans="1:14" ht="12.75">
      <c r="A13" t="s">
        <v>8</v>
      </c>
      <c r="C13" s="10">
        <f>Takstblad!C13*Medlemsstatus!C13*12</f>
        <v>0</v>
      </c>
      <c r="D13" s="10">
        <f>Takstblad!D13*Medlemsstatus!D13*12</f>
        <v>0</v>
      </c>
      <c r="E13" s="10">
        <f>Takstblad!E13*Medlemsstatus!E13*12</f>
        <v>0</v>
      </c>
      <c r="F13" s="10">
        <f>Takstblad!F13*Medlemsstatus!F13*12</f>
        <v>0</v>
      </c>
      <c r="G13" s="10">
        <f>Takstblad!G13*Medlemsstatus!G13*12</f>
        <v>0</v>
      </c>
      <c r="H13" s="10">
        <f>Takstblad!H13*Medlemsstatus!H13*12</f>
        <v>0</v>
      </c>
      <c r="I13" s="10">
        <f>Takstblad!I13*Medlemsstatus!I13*12</f>
        <v>0</v>
      </c>
      <c r="J13" s="10">
        <f>Takstblad!J13*Medlemsstatus!J13*12</f>
        <v>0</v>
      </c>
      <c r="K13" s="10">
        <f>Takstblad!K13*Medlemsstatus!K13*12</f>
        <v>0</v>
      </c>
      <c r="L13" s="10">
        <f>Takstblad!L13*Medlemsstatus!L13*12</f>
        <v>0</v>
      </c>
      <c r="M13" s="10">
        <f>Takstblad!M13*Medlemsstatus!M13*12</f>
        <v>0</v>
      </c>
      <c r="N13" s="10">
        <f>Takstblad!N13*Medlemsstatus!N13*12</f>
        <v>0</v>
      </c>
    </row>
    <row r="14" spans="1:14" ht="12.75">
      <c r="A14" t="s">
        <v>17</v>
      </c>
      <c r="C14" s="10">
        <f>Takstblad!C14*Medlemsstatus!C14*12</f>
        <v>0</v>
      </c>
      <c r="D14" s="10">
        <f>Takstblad!D14*Medlemsstatus!D14*12</f>
        <v>0</v>
      </c>
      <c r="E14" s="10">
        <f>Takstblad!E14*Medlemsstatus!E14*12</f>
        <v>0</v>
      </c>
      <c r="F14" s="10">
        <f>Takstblad!F14*Medlemsstatus!F14*12</f>
        <v>0</v>
      </c>
      <c r="G14" s="10">
        <f>Takstblad!G14*Medlemsstatus!G14*12</f>
        <v>0</v>
      </c>
      <c r="H14" s="10">
        <f>Takstblad!H14*Medlemsstatus!H14*12</f>
        <v>0</v>
      </c>
      <c r="I14" s="10">
        <f>Takstblad!I14*Medlemsstatus!I14*12</f>
        <v>0</v>
      </c>
      <c r="J14" s="10">
        <f>Takstblad!J14*Medlemsstatus!J14*12</f>
        <v>0</v>
      </c>
      <c r="K14" s="10">
        <f>Takstblad!K14*Medlemsstatus!K14*12</f>
        <v>0</v>
      </c>
      <c r="L14" s="10">
        <f>Takstblad!L14*Medlemsstatus!L14*12</f>
        <v>0</v>
      </c>
      <c r="M14" s="10">
        <f>Takstblad!M14*Medlemsstatus!M14*12</f>
        <v>0</v>
      </c>
      <c r="N14" s="10">
        <f>Takstblad!N14*Medlemsstatus!N14*12</f>
        <v>0</v>
      </c>
    </row>
    <row r="15" spans="3:14" ht="12.75"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3.5" thickBot="1">
      <c r="A16" s="1" t="s">
        <v>18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2.75">
      <c r="A17" t="s">
        <v>7</v>
      </c>
      <c r="C17" s="10">
        <f>Takstblad!C136*Medlemsstatus!C17</f>
        <v>0</v>
      </c>
      <c r="D17" s="10">
        <f>Takstblad!D136*Medlemsstatus!D17</f>
        <v>0</v>
      </c>
      <c r="E17" s="10">
        <f>Takstblad!E136*Medlemsstatus!E17</f>
        <v>0</v>
      </c>
      <c r="F17" s="10">
        <f>Takstblad!F136*Medlemsstatus!F17</f>
        <v>0</v>
      </c>
      <c r="G17" s="10">
        <f>Takstblad!G136*Medlemsstatus!G17</f>
        <v>0</v>
      </c>
      <c r="H17" s="10">
        <f>Takstblad!H136*Medlemsstatus!H17</f>
        <v>0</v>
      </c>
      <c r="I17" s="10">
        <f>Takstblad!I136*Medlemsstatus!I17</f>
        <v>0</v>
      </c>
      <c r="J17" s="10">
        <f>Takstblad!J136*Medlemsstatus!J17</f>
        <v>0</v>
      </c>
      <c r="K17" s="10">
        <f>Takstblad!K136*Medlemsstatus!K17</f>
        <v>0</v>
      </c>
      <c r="L17" s="10">
        <f>Takstblad!L136*Medlemsstatus!L17</f>
        <v>0</v>
      </c>
      <c r="M17" s="10">
        <f>Takstblad!M136*Medlemsstatus!M17</f>
        <v>0</v>
      </c>
      <c r="N17" s="10">
        <f>Takstblad!N136*Medlemsstatus!N17</f>
        <v>0</v>
      </c>
    </row>
    <row r="18" spans="1:14" ht="12.75">
      <c r="A18" t="s">
        <v>6</v>
      </c>
      <c r="C18" s="10">
        <f>Takstblad!C137*Medlemsstatus!C18</f>
        <v>1000</v>
      </c>
      <c r="D18" s="10">
        <f>Takstblad!D137*Medlemsstatus!D18</f>
        <v>1030</v>
      </c>
      <c r="E18" s="10">
        <f>Takstblad!E137*Medlemsstatus!E18</f>
        <v>1060.9</v>
      </c>
      <c r="F18" s="10">
        <f>Takstblad!F137*Medlemsstatus!F18</f>
        <v>1092.727</v>
      </c>
      <c r="G18" s="10">
        <f>Takstblad!G137*Medlemsstatus!G18</f>
        <v>1125.50881</v>
      </c>
      <c r="H18" s="10">
        <f>Takstblad!H137*Medlemsstatus!H18</f>
        <v>1159.2740743</v>
      </c>
      <c r="I18" s="10">
        <f>Takstblad!I137*Medlemsstatus!I18</f>
        <v>1194.052296529</v>
      </c>
      <c r="J18" s="10">
        <f>Takstblad!J137*Medlemsstatus!J18</f>
        <v>1229.87386542487</v>
      </c>
      <c r="K18" s="10">
        <f>Takstblad!K137*Medlemsstatus!K18</f>
        <v>1266.770081387616</v>
      </c>
      <c r="L18" s="10">
        <f>Takstblad!L137*Medlemsstatus!L18</f>
        <v>1304.7731838292445</v>
      </c>
      <c r="M18" s="10">
        <f>Takstblad!M137*Medlemsstatus!M18</f>
        <v>1343.9163793441219</v>
      </c>
      <c r="N18" s="10">
        <f>Takstblad!N137*Medlemsstatus!N18</f>
        <v>1384.2338707244455</v>
      </c>
    </row>
    <row r="19" spans="1:14" ht="12.75">
      <c r="A19" t="s">
        <v>8</v>
      </c>
      <c r="C19" s="10">
        <f>Takstblad!C138*Medlemsstatus!C19</f>
        <v>0</v>
      </c>
      <c r="D19" s="10">
        <f>Takstblad!D138*Medlemsstatus!D19</f>
        <v>0</v>
      </c>
      <c r="E19" s="10">
        <f>Takstblad!E138*Medlemsstatus!E19</f>
        <v>0</v>
      </c>
      <c r="F19" s="10">
        <f>Takstblad!F138*Medlemsstatus!F19</f>
        <v>0</v>
      </c>
      <c r="G19" s="10">
        <f>Takstblad!G138*Medlemsstatus!G19</f>
        <v>0</v>
      </c>
      <c r="H19" s="10">
        <f>Takstblad!H138*Medlemsstatus!H19</f>
        <v>0</v>
      </c>
      <c r="I19" s="10">
        <f>Takstblad!I138*Medlemsstatus!I19</f>
        <v>0</v>
      </c>
      <c r="J19" s="10">
        <f>Takstblad!J138*Medlemsstatus!J19</f>
        <v>0</v>
      </c>
      <c r="K19" s="10">
        <f>Takstblad!K138*Medlemsstatus!K19</f>
        <v>0</v>
      </c>
      <c r="L19" s="10">
        <f>Takstblad!L138*Medlemsstatus!L19</f>
        <v>0</v>
      </c>
      <c r="M19" s="10">
        <f>Takstblad!M138*Medlemsstatus!M19</f>
        <v>0</v>
      </c>
      <c r="N19" s="10">
        <f>Takstblad!N138*Medlemsstatus!N19</f>
        <v>0</v>
      </c>
    </row>
    <row r="20" spans="1:14" ht="12.75">
      <c r="A20" t="s">
        <v>17</v>
      </c>
      <c r="C20" s="10">
        <f>Takstblad!C139*Medlemsstatus!C20</f>
        <v>0</v>
      </c>
      <c r="D20" s="10">
        <f>Takstblad!D139*Medlemsstatus!D20</f>
        <v>0</v>
      </c>
      <c r="E20" s="10">
        <f>Takstblad!E139*Medlemsstatus!E20</f>
        <v>0</v>
      </c>
      <c r="F20" s="10">
        <f>Takstblad!F139*Medlemsstatus!F20</f>
        <v>0</v>
      </c>
      <c r="G20" s="10">
        <f>Takstblad!G139*Medlemsstatus!G20</f>
        <v>0</v>
      </c>
      <c r="H20" s="10">
        <f>Takstblad!H139*Medlemsstatus!H20</f>
        <v>0</v>
      </c>
      <c r="I20" s="10">
        <f>Takstblad!I139*Medlemsstatus!I20</f>
        <v>0</v>
      </c>
      <c r="J20" s="10">
        <f>Takstblad!J139*Medlemsstatus!J20</f>
        <v>0</v>
      </c>
      <c r="K20" s="10">
        <f>Takstblad!K139*Medlemsstatus!K20</f>
        <v>0</v>
      </c>
      <c r="L20" s="10">
        <f>Takstblad!L139*Medlemsstatus!L20</f>
        <v>0</v>
      </c>
      <c r="M20" s="10">
        <f>Takstblad!M139*Medlemsstatus!M20</f>
        <v>0</v>
      </c>
      <c r="N20" s="10">
        <f>Takstblad!N139*Medlemsstatus!N20</f>
        <v>0</v>
      </c>
    </row>
    <row r="21" spans="3:14" ht="12.75"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2.75">
      <c r="A22" t="s">
        <v>9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2.75">
      <c r="A23" t="s">
        <v>28</v>
      </c>
      <c r="C23" s="10">
        <f>Takstblad!C14*Medlemsstatus!C23</f>
        <v>7320</v>
      </c>
      <c r="D23" s="10">
        <f>Takstblad!D14*Medlemsstatus!D23</f>
        <v>7539.599999999999</v>
      </c>
      <c r="E23" s="10">
        <f>Takstblad!E14*Medlemsstatus!E23</f>
        <v>7765.788</v>
      </c>
      <c r="F23" s="10">
        <f>Takstblad!F14*Medlemsstatus!F23</f>
        <v>7998.76164</v>
      </c>
      <c r="G23" s="10">
        <f>Takstblad!G14*Medlemsstatus!G23</f>
        <v>8238.7244892</v>
      </c>
      <c r="H23" s="10">
        <f>Takstblad!H14*Medlemsstatus!H23</f>
        <v>8485.886223876</v>
      </c>
      <c r="I23" s="10">
        <f>Takstblad!I14*Medlemsstatus!I23</f>
        <v>8740.46281059228</v>
      </c>
      <c r="J23" s="10">
        <f>Takstblad!J14*Medlemsstatus!J23</f>
        <v>9002.676694910047</v>
      </c>
      <c r="K23" s="10">
        <f>Takstblad!K14*Medlemsstatus!K23</f>
        <v>9272.756995757349</v>
      </c>
      <c r="L23" s="10">
        <f>Takstblad!L14*Medlemsstatus!L23</f>
        <v>9550.93970563007</v>
      </c>
      <c r="M23" s="10">
        <f>Takstblad!M14*Medlemsstatus!M23</f>
        <v>9837.467896798971</v>
      </c>
      <c r="N23" s="10">
        <f>Takstblad!N14*Medlemsstatus!N23</f>
        <v>10132.59193370294</v>
      </c>
    </row>
    <row r="24" spans="3:14" ht="12.75"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2.75">
      <c r="A25" t="s">
        <v>10</v>
      </c>
      <c r="C25" s="10">
        <f>Takstblad!C19*Medlemsstatus!C25*12</f>
        <v>8640</v>
      </c>
      <c r="D25" s="10">
        <f>Takstblad!D19*Medlemsstatus!D25*12</f>
        <v>8899.199999999999</v>
      </c>
      <c r="E25" s="10">
        <f>Takstblad!E19*Medlemsstatus!E25*12</f>
        <v>9166.176</v>
      </c>
      <c r="F25" s="10">
        <f>Takstblad!F19*Medlemsstatus!F25*12</f>
        <v>9441.16128</v>
      </c>
      <c r="G25" s="10">
        <f>Takstblad!G19*Medlemsstatus!G25*12</f>
        <v>9724.3961184</v>
      </c>
      <c r="H25" s="10">
        <f>Takstblad!H19*Medlemsstatus!H25*12</f>
        <v>10016.128001952002</v>
      </c>
      <c r="I25" s="10">
        <f>Takstblad!I19*Medlemsstatus!I25*12</f>
        <v>10316.61184201056</v>
      </c>
      <c r="J25" s="10">
        <f>Takstblad!J19*Medlemsstatus!J25*12</f>
        <v>10626.110197270877</v>
      </c>
      <c r="K25" s="10">
        <f>Takstblad!K19*Medlemsstatus!K25*12</f>
        <v>10944.893503189003</v>
      </c>
      <c r="L25" s="10">
        <f>Takstblad!L19*Medlemsstatus!L25*12</f>
        <v>11273.240308284672</v>
      </c>
      <c r="M25" s="10">
        <f>Takstblad!M19*Medlemsstatus!M25*12</f>
        <v>11611.437517533213</v>
      </c>
      <c r="N25" s="10">
        <f>Takstblad!N19*Medlemsstatus!N25*12</f>
        <v>11959.780643059206</v>
      </c>
    </row>
    <row r="26" spans="1:14" ht="12.75">
      <c r="A26" t="s">
        <v>11</v>
      </c>
      <c r="C26" s="10">
        <f>Takstblad!C20*Medlemsstatus!C26*12</f>
        <v>5760</v>
      </c>
      <c r="D26" s="10">
        <f>Takstblad!D20*Medlemsstatus!D26*12</f>
        <v>5932.799999999999</v>
      </c>
      <c r="E26" s="10">
        <f>Takstblad!E20*Medlemsstatus!E26*12</f>
        <v>6110.784</v>
      </c>
      <c r="F26" s="10">
        <f>Takstblad!F20*Medlemsstatus!F26*12</f>
        <v>6294.10752</v>
      </c>
      <c r="G26" s="10">
        <f>Takstblad!G20*Medlemsstatus!G26*12</f>
        <v>6482.9307456</v>
      </c>
      <c r="H26" s="10">
        <f>Takstblad!H20*Medlemsstatus!H26*12</f>
        <v>6677.418667968001</v>
      </c>
      <c r="I26" s="10">
        <f>Takstblad!I20*Medlemsstatus!I26*12</f>
        <v>6877.74122800704</v>
      </c>
      <c r="J26" s="10">
        <f>Takstblad!J20*Medlemsstatus!J26*12</f>
        <v>7084.073464847251</v>
      </c>
      <c r="K26" s="10">
        <f>Takstblad!K20*Medlemsstatus!K26*12</f>
        <v>7296.595668792668</v>
      </c>
      <c r="L26" s="10">
        <f>Takstblad!L20*Medlemsstatus!L26*12</f>
        <v>7515.493538856448</v>
      </c>
      <c r="M26" s="10">
        <f>Takstblad!M20*Medlemsstatus!M26*12</f>
        <v>7740.958345022142</v>
      </c>
      <c r="N26" s="10">
        <f>Takstblad!N20*Medlemsstatus!N26*12</f>
        <v>7973.187095372805</v>
      </c>
    </row>
    <row r="27" spans="1:14" ht="12.75">
      <c r="A27" t="s">
        <v>12</v>
      </c>
      <c r="C27" s="10">
        <f>Takstblad!C21*Medlemsstatus!C27*12</f>
        <v>5760</v>
      </c>
      <c r="D27" s="10">
        <f>Takstblad!D21*Medlemsstatus!D27*12</f>
        <v>5932.799999999999</v>
      </c>
      <c r="E27" s="10">
        <f>Takstblad!E21*Medlemsstatus!E27*12</f>
        <v>6110.784</v>
      </c>
      <c r="F27" s="10">
        <f>Takstblad!F21*Medlemsstatus!F27*12</f>
        <v>6294.10752</v>
      </c>
      <c r="G27" s="10">
        <f>Takstblad!G21*Medlemsstatus!G27*12</f>
        <v>6482.9307456</v>
      </c>
      <c r="H27" s="10">
        <f>Takstblad!H21*Medlemsstatus!H27*12</f>
        <v>6677.418667968001</v>
      </c>
      <c r="I27" s="10">
        <f>Takstblad!I21*Medlemsstatus!I27*12</f>
        <v>6877.74122800704</v>
      </c>
      <c r="J27" s="10">
        <f>Takstblad!J21*Medlemsstatus!J27*12</f>
        <v>7084.073464847251</v>
      </c>
      <c r="K27" s="10">
        <f>Takstblad!K21*Medlemsstatus!K27*12</f>
        <v>7296.595668792668</v>
      </c>
      <c r="L27" s="10">
        <f>Takstblad!L21*Medlemsstatus!L27*12</f>
        <v>7515.493538856448</v>
      </c>
      <c r="M27" s="10">
        <f>Takstblad!M21*Medlemsstatus!M27*12</f>
        <v>7740.958345022142</v>
      </c>
      <c r="N27" s="10">
        <f>Takstblad!N21*Medlemsstatus!N27*12</f>
        <v>7973.187095372805</v>
      </c>
    </row>
    <row r="28" spans="1:14" ht="12.75">
      <c r="A28" t="s">
        <v>13</v>
      </c>
      <c r="C28" s="10">
        <f>Takstblad!C22*Medlemsstatus!C28</f>
        <v>3250</v>
      </c>
      <c r="D28" s="10">
        <f>Takstblad!D22*Medlemsstatus!D28</f>
        <v>3347.5</v>
      </c>
      <c r="E28" s="10">
        <f>Takstblad!E22*Medlemsstatus!E28</f>
        <v>3447.925</v>
      </c>
      <c r="F28" s="10">
        <f>Takstblad!F22*Medlemsstatus!F28</f>
        <v>3551.3627500000002</v>
      </c>
      <c r="G28" s="10">
        <f>Takstblad!G22*Medlemsstatus!G28</f>
        <v>3657.9036324999997</v>
      </c>
      <c r="H28" s="10">
        <f>Takstblad!H22*Medlemsstatus!H28</f>
        <v>3767.6407414749997</v>
      </c>
      <c r="I28" s="10">
        <f>Takstblad!I22*Medlemsstatus!I28</f>
        <v>3880.6699637192496</v>
      </c>
      <c r="J28" s="10">
        <f>Takstblad!J22*Medlemsstatus!J28</f>
        <v>3997.090062630827</v>
      </c>
      <c r="K28" s="10">
        <f>Takstblad!K22*Medlemsstatus!K28</f>
        <v>4117.002764509752</v>
      </c>
      <c r="L28" s="10">
        <f>Takstblad!L22*Medlemsstatus!L28</f>
        <v>4240.512847445045</v>
      </c>
      <c r="M28" s="10">
        <f>Takstblad!M22*Medlemsstatus!M28</f>
        <v>4367.728232868396</v>
      </c>
      <c r="N28" s="10">
        <f>Takstblad!N22*Medlemsstatus!N28</f>
        <v>4498.760079854447</v>
      </c>
    </row>
    <row r="29" spans="1:14" ht="12.75">
      <c r="A29" t="s">
        <v>34</v>
      </c>
      <c r="C29" s="10">
        <f>Takstblad!C23*Medlemsstatus!C29</f>
        <v>5600</v>
      </c>
      <c r="D29" s="10">
        <f>Takstblad!D23*Medlemsstatus!D29</f>
        <v>5600</v>
      </c>
      <c r="E29" s="10">
        <f>Takstblad!E23*Medlemsstatus!E29</f>
        <v>5600</v>
      </c>
      <c r="F29" s="10">
        <f>Takstblad!F23*Medlemsstatus!F29</f>
        <v>5600</v>
      </c>
      <c r="G29" s="10">
        <f>Takstblad!G23*Medlemsstatus!G29</f>
        <v>5600</v>
      </c>
      <c r="H29" s="10">
        <f>Takstblad!H23*Medlemsstatus!H29</f>
        <v>5600</v>
      </c>
      <c r="I29" s="10">
        <f>Takstblad!I23*Medlemsstatus!I29</f>
        <v>5600</v>
      </c>
      <c r="J29" s="10">
        <f>Takstblad!J23*Medlemsstatus!J29</f>
        <v>5600</v>
      </c>
      <c r="K29" s="10">
        <f>Takstblad!K23*Medlemsstatus!K29</f>
        <v>5600</v>
      </c>
      <c r="L29" s="10">
        <f>Takstblad!L23*Medlemsstatus!L29</f>
        <v>5600</v>
      </c>
      <c r="M29" s="10">
        <f>Takstblad!M23*Medlemsstatus!M29</f>
        <v>5600</v>
      </c>
      <c r="N29" s="10">
        <f>Takstblad!N23*Medlemsstatus!N29</f>
        <v>5600</v>
      </c>
    </row>
    <row r="30" spans="3:14" ht="12.75"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ht="12.75">
      <c r="A31" t="s">
        <v>15</v>
      </c>
      <c r="C31" s="10">
        <f>Takstblad!C25*Medlemsstatus!C31*12</f>
        <v>0</v>
      </c>
      <c r="D31" s="10">
        <f>Takstblad!D25*Medlemsstatus!D31*12</f>
        <v>0</v>
      </c>
      <c r="E31" s="10">
        <f>Takstblad!E25*Medlemsstatus!E31*12</f>
        <v>0</v>
      </c>
      <c r="F31" s="10">
        <f>Takstblad!F25*Medlemsstatus!F31*12</f>
        <v>0</v>
      </c>
      <c r="G31" s="10">
        <f>Takstblad!G25*Medlemsstatus!G31*12</f>
        <v>0</v>
      </c>
      <c r="H31" s="10">
        <f>Takstblad!H25*Medlemsstatus!H31*12</f>
        <v>0</v>
      </c>
      <c r="I31" s="10">
        <f>Takstblad!I25*Medlemsstatus!I31*12</f>
        <v>0</v>
      </c>
      <c r="J31" s="10">
        <f>Takstblad!J25*Medlemsstatus!J31*12</f>
        <v>0</v>
      </c>
      <c r="K31" s="10">
        <f>Takstblad!K25*Medlemsstatus!K31*12</f>
        <v>0</v>
      </c>
      <c r="L31" s="10">
        <f>Takstblad!L25*Medlemsstatus!L31*12</f>
        <v>0</v>
      </c>
      <c r="M31" s="10">
        <f>Takstblad!M25*Medlemsstatus!M31*12</f>
        <v>0</v>
      </c>
      <c r="N31" s="10">
        <f>Takstblad!N25*Medlemsstatus!N31*12</f>
        <v>0</v>
      </c>
    </row>
    <row r="32" spans="1:14" ht="13.5" thickBot="1">
      <c r="A32" s="5" t="s">
        <v>137</v>
      </c>
      <c r="B32" s="16">
        <f>SUM(B5:B31)+B3</f>
        <v>448632</v>
      </c>
      <c r="C32" s="16">
        <f aca="true" t="shared" si="0" ref="C32:N32">SUM(C5:C31)</f>
        <v>296915</v>
      </c>
      <c r="D32" s="16">
        <f t="shared" si="0"/>
        <v>305654.44999999995</v>
      </c>
      <c r="E32" s="16">
        <f t="shared" si="0"/>
        <v>314656.08349999995</v>
      </c>
      <c r="F32" s="16">
        <f t="shared" si="0"/>
        <v>323927.7660050001</v>
      </c>
      <c r="G32" s="16">
        <f t="shared" si="0"/>
        <v>333477.59898515</v>
      </c>
      <c r="H32" s="16">
        <f t="shared" si="0"/>
        <v>343313.92695470445</v>
      </c>
      <c r="I32" s="16">
        <f t="shared" si="0"/>
        <v>353445.3447633456</v>
      </c>
      <c r="J32" s="16">
        <f t="shared" si="0"/>
        <v>363880.70510624594</v>
      </c>
      <c r="K32" s="16">
        <f t="shared" si="0"/>
        <v>374629.1262594334</v>
      </c>
      <c r="L32" s="16">
        <f t="shared" si="0"/>
        <v>385700.00004721637</v>
      </c>
      <c r="M32" s="16">
        <f t="shared" si="0"/>
        <v>397103.00004863285</v>
      </c>
      <c r="N32" s="16">
        <f t="shared" si="0"/>
        <v>408848.09005009185</v>
      </c>
    </row>
    <row r="33" ht="14.25" thickBot="1" thickTop="1"/>
    <row r="34" spans="2:14" ht="13.5" thickBot="1">
      <c r="B34" s="6">
        <v>2008</v>
      </c>
      <c r="C34" s="7">
        <v>2009</v>
      </c>
      <c r="D34" s="7">
        <v>2010</v>
      </c>
      <c r="E34" s="7">
        <v>2011</v>
      </c>
      <c r="F34" s="7">
        <v>2012</v>
      </c>
      <c r="G34" s="7">
        <v>2013</v>
      </c>
      <c r="H34" s="7">
        <v>2014</v>
      </c>
      <c r="I34" s="7">
        <v>2015</v>
      </c>
      <c r="J34" s="7">
        <v>2016</v>
      </c>
      <c r="K34" s="7">
        <v>2017</v>
      </c>
      <c r="L34" s="7">
        <v>2018</v>
      </c>
      <c r="M34" s="7">
        <v>2019</v>
      </c>
      <c r="N34" s="8">
        <v>2020</v>
      </c>
    </row>
    <row r="35" ht="13.5" thickBot="1">
      <c r="A35" s="15" t="s">
        <v>127</v>
      </c>
    </row>
    <row r="36" spans="1:14" ht="13.5" thickBot="1">
      <c r="A36" s="1" t="s">
        <v>5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2.75">
      <c r="A37" t="s">
        <v>7</v>
      </c>
      <c r="C37" s="10">
        <f>Takstblad!C31*Medlemsstatus!C5*Aktivitetsoversigt!C5</f>
        <v>0</v>
      </c>
      <c r="D37" s="10">
        <f>Takstblad!D31*Medlemsstatus!D5*Aktivitetsoversigt!D5</f>
        <v>0</v>
      </c>
      <c r="E37" s="10">
        <f>Takstblad!E31*Medlemsstatus!E5*Aktivitetsoversigt!E5</f>
        <v>0</v>
      </c>
      <c r="F37" s="10">
        <f>Takstblad!F31*Medlemsstatus!F5*Aktivitetsoversigt!F5</f>
        <v>0</v>
      </c>
      <c r="G37" s="10">
        <f>Takstblad!G31*Medlemsstatus!G5*Aktivitetsoversigt!G5</f>
        <v>0</v>
      </c>
      <c r="H37" s="10">
        <f>Takstblad!H31*Medlemsstatus!H5*Aktivitetsoversigt!H5</f>
        <v>0</v>
      </c>
      <c r="I37" s="10">
        <f>Takstblad!I31*Medlemsstatus!I5*Aktivitetsoversigt!I5</f>
        <v>0</v>
      </c>
      <c r="J37" s="10">
        <f>Takstblad!J31*Medlemsstatus!J5*Aktivitetsoversigt!J5</f>
        <v>0</v>
      </c>
      <c r="K37" s="10">
        <f>Takstblad!K31*Medlemsstatus!K5*Aktivitetsoversigt!K5</f>
        <v>0</v>
      </c>
      <c r="L37" s="10">
        <f>Takstblad!L31*Medlemsstatus!L5*Aktivitetsoversigt!L5</f>
        <v>0</v>
      </c>
      <c r="M37" s="10">
        <f>Takstblad!M31*Medlemsstatus!M5*Aktivitetsoversigt!M5</f>
        <v>0</v>
      </c>
      <c r="N37" s="10">
        <f>Takstblad!N31*Medlemsstatus!N5*Aktivitetsoversigt!N5</f>
        <v>0</v>
      </c>
    </row>
    <row r="38" spans="1:14" ht="12.75">
      <c r="A38" t="s">
        <v>6</v>
      </c>
      <c r="C38" s="10">
        <f>Takstblad!C32*Medlemsstatus!C6*Aktivitetsoversigt!C6</f>
        <v>10000</v>
      </c>
      <c r="D38" s="10">
        <f>Takstblad!D32*Medlemsstatus!D6*Aktivitetsoversigt!D6</f>
        <v>10300</v>
      </c>
      <c r="E38" s="10">
        <f>Takstblad!E32*Medlemsstatus!E6*Aktivitetsoversigt!E6</f>
        <v>10609</v>
      </c>
      <c r="F38" s="10">
        <f>Takstblad!F32*Medlemsstatus!F6*Aktivitetsoversigt!F6</f>
        <v>10927.27</v>
      </c>
      <c r="G38" s="10">
        <f>Takstblad!G32*Medlemsstatus!G6*Aktivitetsoversigt!G6</f>
        <v>11255.0881</v>
      </c>
      <c r="H38" s="10">
        <f>Takstblad!H32*Medlemsstatus!H6*Aktivitetsoversigt!H6</f>
        <v>11592.740742999998</v>
      </c>
      <c r="I38" s="10">
        <f>Takstblad!I32*Medlemsstatus!I6*Aktivitetsoversigt!I6</f>
        <v>11940.522965290002</v>
      </c>
      <c r="J38" s="10">
        <f>Takstblad!J32*Medlemsstatus!J6*Aktivitetsoversigt!J6</f>
        <v>12298.7386542487</v>
      </c>
      <c r="K38" s="10">
        <f>Takstblad!K32*Medlemsstatus!K6*Aktivitetsoversigt!K6</f>
        <v>12667.700813876161</v>
      </c>
      <c r="L38" s="10">
        <f>Takstblad!L32*Medlemsstatus!L6*Aktivitetsoversigt!L6</f>
        <v>13047.731838292448</v>
      </c>
      <c r="M38" s="10">
        <f>Takstblad!M32*Medlemsstatus!M6*Aktivitetsoversigt!M6</f>
        <v>13439.16379344122</v>
      </c>
      <c r="N38" s="10">
        <f>Takstblad!N32*Medlemsstatus!N6*Aktivitetsoversigt!N6</f>
        <v>13842.338707244453</v>
      </c>
    </row>
    <row r="39" spans="1:14" ht="12.75">
      <c r="A39" t="s">
        <v>8</v>
      </c>
      <c r="C39" s="10">
        <f>Takstblad!C33*Medlemsstatus!C7*Aktivitetsoversigt!C7</f>
        <v>4750</v>
      </c>
      <c r="D39" s="10">
        <f>Takstblad!D33*Medlemsstatus!D7*Aktivitetsoversigt!D7</f>
        <v>4892.5</v>
      </c>
      <c r="E39" s="10">
        <f>Takstblad!E33*Medlemsstatus!E7*Aktivitetsoversigt!E7</f>
        <v>5039.275000000001</v>
      </c>
      <c r="F39" s="10">
        <f>Takstblad!F33*Medlemsstatus!F7*Aktivitetsoversigt!F7</f>
        <v>5190.4532500000005</v>
      </c>
      <c r="G39" s="10">
        <f>Takstblad!G33*Medlemsstatus!G7*Aktivitetsoversigt!G7</f>
        <v>5346.166847500001</v>
      </c>
      <c r="H39" s="10">
        <f>Takstblad!H33*Medlemsstatus!H7*Aktivitetsoversigt!H7</f>
        <v>5506.551852924999</v>
      </c>
      <c r="I39" s="10">
        <f>Takstblad!I33*Medlemsstatus!I7*Aktivitetsoversigt!I7</f>
        <v>5671.74840851275</v>
      </c>
      <c r="J39" s="10">
        <f>Takstblad!J33*Medlemsstatus!J7*Aktivitetsoversigt!J7</f>
        <v>5841.900860768133</v>
      </c>
      <c r="K39" s="10">
        <f>Takstblad!K33*Medlemsstatus!K7*Aktivitetsoversigt!K7</f>
        <v>6017.157886591176</v>
      </c>
      <c r="L39" s="10">
        <f>Takstblad!L33*Medlemsstatus!L7*Aktivitetsoversigt!L7</f>
        <v>6197.6726231889115</v>
      </c>
      <c r="M39" s="10">
        <f>Takstblad!M33*Medlemsstatus!M7*Aktivitetsoversigt!M7</f>
        <v>6383.602801884579</v>
      </c>
      <c r="N39" s="10">
        <f>Takstblad!N33*Medlemsstatus!N7*Aktivitetsoversigt!N7</f>
        <v>6575.110885941116</v>
      </c>
    </row>
    <row r="40" spans="1:14" ht="12.75">
      <c r="A40" t="s">
        <v>17</v>
      </c>
      <c r="C40" s="10">
        <f>Takstblad!C34*Medlemsstatus!C8*Aktivitetsoversigt!C8</f>
        <v>0</v>
      </c>
      <c r="D40" s="10">
        <f>Takstblad!D34*Medlemsstatus!D8*Aktivitetsoversigt!D8</f>
        <v>0</v>
      </c>
      <c r="E40" s="10">
        <f>Takstblad!E34*Medlemsstatus!E8*Aktivitetsoversigt!E8</f>
        <v>0</v>
      </c>
      <c r="F40" s="10">
        <f>Takstblad!F34*Medlemsstatus!F8*Aktivitetsoversigt!F8</f>
        <v>0</v>
      </c>
      <c r="G40" s="10">
        <f>Takstblad!G34*Medlemsstatus!G8*Aktivitetsoversigt!G8</f>
        <v>0</v>
      </c>
      <c r="H40" s="10">
        <f>Takstblad!H34*Medlemsstatus!H8*Aktivitetsoversigt!H8</f>
        <v>0</v>
      </c>
      <c r="I40" s="10">
        <f>Takstblad!I34*Medlemsstatus!I8*Aktivitetsoversigt!I8</f>
        <v>0</v>
      </c>
      <c r="J40" s="10">
        <f>Takstblad!J34*Medlemsstatus!J8*Aktivitetsoversigt!J8</f>
        <v>0</v>
      </c>
      <c r="K40" s="10">
        <f>Takstblad!K34*Medlemsstatus!K8*Aktivitetsoversigt!K8</f>
        <v>0</v>
      </c>
      <c r="L40" s="10">
        <f>Takstblad!L34*Medlemsstatus!L8*Aktivitetsoversigt!L8</f>
        <v>0</v>
      </c>
      <c r="M40" s="10">
        <f>Takstblad!M34*Medlemsstatus!M8*Aktivitetsoversigt!M8</f>
        <v>0</v>
      </c>
      <c r="N40" s="10">
        <f>Takstblad!N34*Medlemsstatus!N8*Aktivitetsoversigt!N8</f>
        <v>0</v>
      </c>
    </row>
    <row r="41" spans="3:14" ht="12.75"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3.5" thickBot="1">
      <c r="A42" s="1" t="s">
        <v>16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2.75">
      <c r="A43" t="s">
        <v>7</v>
      </c>
      <c r="C43" s="10">
        <f>Takstblad!C37*Medlemsstatus!C11*Aktivitetsoversigt!C11</f>
        <v>0</v>
      </c>
      <c r="D43" s="10">
        <f>Takstblad!D37*Medlemsstatus!D11*Aktivitetsoversigt!D11</f>
        <v>0</v>
      </c>
      <c r="E43" s="10">
        <f>Takstblad!E37*Medlemsstatus!E11*Aktivitetsoversigt!E11</f>
        <v>0</v>
      </c>
      <c r="F43" s="10">
        <f>Takstblad!F37*Medlemsstatus!F11*Aktivitetsoversigt!F11</f>
        <v>0</v>
      </c>
      <c r="G43" s="10">
        <f>Takstblad!G37*Medlemsstatus!G11*Aktivitetsoversigt!G11</f>
        <v>0</v>
      </c>
      <c r="H43" s="10">
        <f>Takstblad!H37*Medlemsstatus!H11*Aktivitetsoversigt!H11</f>
        <v>0</v>
      </c>
      <c r="I43" s="10">
        <f>Takstblad!I37*Medlemsstatus!I11*Aktivitetsoversigt!I11</f>
        <v>0</v>
      </c>
      <c r="J43" s="10">
        <f>Takstblad!J37*Medlemsstatus!J11*Aktivitetsoversigt!J11</f>
        <v>0</v>
      </c>
      <c r="K43" s="10">
        <f>Takstblad!K37*Medlemsstatus!K11*Aktivitetsoversigt!K11</f>
        <v>0</v>
      </c>
      <c r="L43" s="10">
        <f>Takstblad!L37*Medlemsstatus!L11*Aktivitetsoversigt!L11</f>
        <v>0</v>
      </c>
      <c r="M43" s="10">
        <f>Takstblad!M37*Medlemsstatus!M11*Aktivitetsoversigt!M11</f>
        <v>0</v>
      </c>
      <c r="N43" s="10">
        <f>Takstblad!N37*Medlemsstatus!N11*Aktivitetsoversigt!N11</f>
        <v>0</v>
      </c>
    </row>
    <row r="44" spans="1:14" ht="12.75">
      <c r="A44" t="s">
        <v>6</v>
      </c>
      <c r="C44" s="10">
        <f>Takstblad!C38*Medlemsstatus!C12*Aktivitetsoversigt!C12</f>
        <v>0</v>
      </c>
      <c r="D44" s="10">
        <f>Takstblad!D38*Medlemsstatus!D12*Aktivitetsoversigt!D12</f>
        <v>0</v>
      </c>
      <c r="E44" s="10">
        <f>Takstblad!E38*Medlemsstatus!E12*Aktivitetsoversigt!E12</f>
        <v>0</v>
      </c>
      <c r="F44" s="10">
        <f>Takstblad!F38*Medlemsstatus!F12*Aktivitetsoversigt!F12</f>
        <v>0</v>
      </c>
      <c r="G44" s="10">
        <f>Takstblad!G38*Medlemsstatus!G12*Aktivitetsoversigt!G12</f>
        <v>0</v>
      </c>
      <c r="H44" s="10">
        <f>Takstblad!H38*Medlemsstatus!H12*Aktivitetsoversigt!H12</f>
        <v>0</v>
      </c>
      <c r="I44" s="10">
        <f>Takstblad!I38*Medlemsstatus!I12*Aktivitetsoversigt!I12</f>
        <v>0</v>
      </c>
      <c r="J44" s="10">
        <f>Takstblad!J38*Medlemsstatus!J12*Aktivitetsoversigt!J12</f>
        <v>0</v>
      </c>
      <c r="K44" s="10">
        <f>Takstblad!K38*Medlemsstatus!K12*Aktivitetsoversigt!K12</f>
        <v>0</v>
      </c>
      <c r="L44" s="10">
        <f>Takstblad!L38*Medlemsstatus!L12*Aktivitetsoversigt!L12</f>
        <v>0</v>
      </c>
      <c r="M44" s="10">
        <f>Takstblad!M38*Medlemsstatus!M12*Aktivitetsoversigt!M12</f>
        <v>0</v>
      </c>
      <c r="N44" s="10">
        <f>Takstblad!N38*Medlemsstatus!N12*Aktivitetsoversigt!N12</f>
        <v>0</v>
      </c>
    </row>
    <row r="45" spans="1:14" ht="12.75">
      <c r="A45" t="s">
        <v>8</v>
      </c>
      <c r="C45" s="10">
        <f>Takstblad!C39*Medlemsstatus!C13*Aktivitetsoversigt!C13</f>
        <v>0</v>
      </c>
      <c r="D45" s="10">
        <f>Takstblad!D39*Medlemsstatus!D13*Aktivitetsoversigt!D13</f>
        <v>0</v>
      </c>
      <c r="E45" s="10">
        <f>Takstblad!E39*Medlemsstatus!E13*Aktivitetsoversigt!E13</f>
        <v>0</v>
      </c>
      <c r="F45" s="10">
        <f>Takstblad!F39*Medlemsstatus!F13*Aktivitetsoversigt!F13</f>
        <v>0</v>
      </c>
      <c r="G45" s="10">
        <f>Takstblad!G39*Medlemsstatus!G13*Aktivitetsoversigt!G13</f>
        <v>0</v>
      </c>
      <c r="H45" s="10">
        <f>Takstblad!H39*Medlemsstatus!H13*Aktivitetsoversigt!H13</f>
        <v>0</v>
      </c>
      <c r="I45" s="10">
        <f>Takstblad!I39*Medlemsstatus!I13*Aktivitetsoversigt!I13</f>
        <v>0</v>
      </c>
      <c r="J45" s="10">
        <f>Takstblad!J39*Medlemsstatus!J13*Aktivitetsoversigt!J13</f>
        <v>0</v>
      </c>
      <c r="K45" s="10">
        <f>Takstblad!K39*Medlemsstatus!K13*Aktivitetsoversigt!K13</f>
        <v>0</v>
      </c>
      <c r="L45" s="10">
        <f>Takstblad!L39*Medlemsstatus!L13*Aktivitetsoversigt!L13</f>
        <v>0</v>
      </c>
      <c r="M45" s="10">
        <f>Takstblad!M39*Medlemsstatus!M13*Aktivitetsoversigt!M13</f>
        <v>0</v>
      </c>
      <c r="N45" s="10">
        <f>Takstblad!N39*Medlemsstatus!N13*Aktivitetsoversigt!N13</f>
        <v>0</v>
      </c>
    </row>
    <row r="46" spans="1:14" ht="12.75">
      <c r="A46" t="s">
        <v>17</v>
      </c>
      <c r="C46" s="10">
        <f>Takstblad!C40*Medlemsstatus!C14*Aktivitetsoversigt!C14</f>
        <v>0</v>
      </c>
      <c r="D46" s="10">
        <f>Takstblad!D40*Medlemsstatus!D14*Aktivitetsoversigt!D14</f>
        <v>0</v>
      </c>
      <c r="E46" s="10">
        <f>Takstblad!E40*Medlemsstatus!E14*Aktivitetsoversigt!E14</f>
        <v>0</v>
      </c>
      <c r="F46" s="10">
        <f>Takstblad!F40*Medlemsstatus!F14*Aktivitetsoversigt!F14</f>
        <v>0</v>
      </c>
      <c r="G46" s="10">
        <f>Takstblad!G40*Medlemsstatus!G14*Aktivitetsoversigt!G14</f>
        <v>0</v>
      </c>
      <c r="H46" s="10">
        <f>Takstblad!H40*Medlemsstatus!H14*Aktivitetsoversigt!H14</f>
        <v>0</v>
      </c>
      <c r="I46" s="10">
        <f>Takstblad!I40*Medlemsstatus!I14*Aktivitetsoversigt!I14</f>
        <v>0</v>
      </c>
      <c r="J46" s="10">
        <f>Takstblad!J40*Medlemsstatus!J14*Aktivitetsoversigt!J14</f>
        <v>0</v>
      </c>
      <c r="K46" s="10">
        <f>Takstblad!K40*Medlemsstatus!K14*Aktivitetsoversigt!K14</f>
        <v>0</v>
      </c>
      <c r="L46" s="10">
        <f>Takstblad!L40*Medlemsstatus!L14*Aktivitetsoversigt!L14</f>
        <v>0</v>
      </c>
      <c r="M46" s="10">
        <f>Takstblad!M40*Medlemsstatus!M14*Aktivitetsoversigt!M14</f>
        <v>0</v>
      </c>
      <c r="N46" s="10">
        <f>Takstblad!N40*Medlemsstatus!N14*Aktivitetsoversigt!N14</f>
        <v>0</v>
      </c>
    </row>
    <row r="47" spans="3:14" ht="12.75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2.75">
      <c r="A48" t="s">
        <v>9</v>
      </c>
      <c r="C48" s="10">
        <f>Takstblad!C42*Medlemsstatus!C22*Aktivitetsoversigt!C16</f>
        <v>0</v>
      </c>
      <c r="D48" s="10">
        <f>Takstblad!D42*Medlemsstatus!D22*Aktivitetsoversigt!D16</f>
        <v>0</v>
      </c>
      <c r="E48" s="10">
        <f>Takstblad!E42*Medlemsstatus!E22*Aktivitetsoversigt!E16</f>
        <v>0</v>
      </c>
      <c r="F48" s="10">
        <f>Takstblad!F42*Medlemsstatus!F22*Aktivitetsoversigt!F16</f>
        <v>0</v>
      </c>
      <c r="G48" s="10">
        <f>Takstblad!G42*Medlemsstatus!G22*Aktivitetsoversigt!G16</f>
        <v>0</v>
      </c>
      <c r="H48" s="10">
        <f>Takstblad!H42*Medlemsstatus!H22*Aktivitetsoversigt!H16</f>
        <v>0</v>
      </c>
      <c r="I48" s="10">
        <f>Takstblad!I42*Medlemsstatus!I22*Aktivitetsoversigt!I16</f>
        <v>0</v>
      </c>
      <c r="J48" s="10">
        <f>Takstblad!J42*Medlemsstatus!J22*Aktivitetsoversigt!J16</f>
        <v>0</v>
      </c>
      <c r="K48" s="10">
        <f>Takstblad!K42*Medlemsstatus!K22*Aktivitetsoversigt!K16</f>
        <v>0</v>
      </c>
      <c r="L48" s="10">
        <f>Takstblad!L42*Medlemsstatus!L22*Aktivitetsoversigt!L16</f>
        <v>0</v>
      </c>
      <c r="M48" s="10">
        <f>Takstblad!M42*Medlemsstatus!M22*Aktivitetsoversigt!M16</f>
        <v>0</v>
      </c>
      <c r="N48" s="10">
        <f>Takstblad!N42*Medlemsstatus!N22*Aktivitetsoversigt!N16</f>
        <v>0</v>
      </c>
    </row>
    <row r="49" spans="1:14" ht="12.75">
      <c r="A49" t="s">
        <v>28</v>
      </c>
      <c r="C49" s="10">
        <f>Takstblad!C43*Medlemsstatus!C23*Aktivitetsoversigt!C17</f>
        <v>0</v>
      </c>
      <c r="D49" s="10">
        <f>Takstblad!D43*Medlemsstatus!D23*Aktivitetsoversigt!D17</f>
        <v>0</v>
      </c>
      <c r="E49" s="10">
        <f>Takstblad!E43*Medlemsstatus!E23*Aktivitetsoversigt!E17</f>
        <v>0</v>
      </c>
      <c r="F49" s="10">
        <f>Takstblad!F43*Medlemsstatus!F23*Aktivitetsoversigt!F17</f>
        <v>0</v>
      </c>
      <c r="G49" s="10">
        <f>Takstblad!G43*Medlemsstatus!G23*Aktivitetsoversigt!G17</f>
        <v>0</v>
      </c>
      <c r="H49" s="10">
        <f>Takstblad!H43*Medlemsstatus!H23*Aktivitetsoversigt!H17</f>
        <v>0</v>
      </c>
      <c r="I49" s="10">
        <f>Takstblad!I43*Medlemsstatus!I23*Aktivitetsoversigt!I17</f>
        <v>0</v>
      </c>
      <c r="J49" s="10">
        <f>Takstblad!J43*Medlemsstatus!J23*Aktivitetsoversigt!J17</f>
        <v>0</v>
      </c>
      <c r="K49" s="10">
        <f>Takstblad!K43*Medlemsstatus!K23*Aktivitetsoversigt!K17</f>
        <v>0</v>
      </c>
      <c r="L49" s="10">
        <f>Takstblad!L43*Medlemsstatus!L23*Aktivitetsoversigt!L17</f>
        <v>0</v>
      </c>
      <c r="M49" s="10">
        <f>Takstblad!M43*Medlemsstatus!M23*Aktivitetsoversigt!M17</f>
        <v>0</v>
      </c>
      <c r="N49" s="10">
        <f>Takstblad!N43*Medlemsstatus!N23*Aktivitetsoversigt!N17</f>
        <v>0</v>
      </c>
    </row>
    <row r="50" spans="3:14" ht="12.75"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2.75">
      <c r="A51" t="s">
        <v>15</v>
      </c>
      <c r="C51" s="10">
        <f>Takstblad!C51*Medlemsstatus!C31*Aktivitetsoversigt!C19</f>
        <v>0</v>
      </c>
      <c r="D51" s="10">
        <f>Takstblad!D51*Medlemsstatus!D31*Aktivitetsoversigt!D19</f>
        <v>0</v>
      </c>
      <c r="E51" s="10">
        <f>Takstblad!E51*Medlemsstatus!E31*Aktivitetsoversigt!E19</f>
        <v>0</v>
      </c>
      <c r="F51" s="10">
        <f>Takstblad!F51*Medlemsstatus!F31*Aktivitetsoversigt!F19</f>
        <v>0</v>
      </c>
      <c r="G51" s="10">
        <f>Takstblad!G51*Medlemsstatus!G31*Aktivitetsoversigt!G19</f>
        <v>0</v>
      </c>
      <c r="H51" s="10">
        <f>Takstblad!H51*Medlemsstatus!H31*Aktivitetsoversigt!H19</f>
        <v>0</v>
      </c>
      <c r="I51" s="10">
        <f>Takstblad!I51*Medlemsstatus!I31*Aktivitetsoversigt!I19</f>
        <v>0</v>
      </c>
      <c r="J51" s="10">
        <f>Takstblad!J51*Medlemsstatus!J31*Aktivitetsoversigt!J19</f>
        <v>0</v>
      </c>
      <c r="K51" s="10">
        <f>Takstblad!K51*Medlemsstatus!K31*Aktivitetsoversigt!K19</f>
        <v>0</v>
      </c>
      <c r="L51" s="10">
        <f>Takstblad!L51*Medlemsstatus!L31*Aktivitetsoversigt!L19</f>
        <v>0</v>
      </c>
      <c r="M51" s="10">
        <f>Takstblad!M51*Medlemsstatus!M31*Aktivitetsoversigt!M19</f>
        <v>0</v>
      </c>
      <c r="N51" s="10">
        <f>Takstblad!N51*Medlemsstatus!N31*Aktivitetsoversigt!N19</f>
        <v>0</v>
      </c>
    </row>
    <row r="52" spans="1:14" ht="12.75">
      <c r="A52" t="s">
        <v>128</v>
      </c>
      <c r="C52" s="10">
        <f>Takstblad!C52*Aktivitetsoversigt!C20</f>
        <v>37500</v>
      </c>
      <c r="D52" s="10">
        <f>Takstblad!D52*Aktivitetsoversigt!D20</f>
        <v>38625</v>
      </c>
      <c r="E52" s="10">
        <f>Takstblad!E52*Aktivitetsoversigt!E20</f>
        <v>39783.75</v>
      </c>
      <c r="F52" s="10">
        <f>Takstblad!F52*Aktivitetsoversigt!F20</f>
        <v>40977.262500000004</v>
      </c>
      <c r="G52" s="10">
        <f>Takstblad!G52*Aktivitetsoversigt!G20</f>
        <v>42206.580375000005</v>
      </c>
      <c r="H52" s="10">
        <f>Takstblad!H52*Aktivitetsoversigt!H20</f>
        <v>43472.77778625</v>
      </c>
      <c r="I52" s="10">
        <f>Takstblad!I52*Aktivitetsoversigt!I20</f>
        <v>44776.9611198375</v>
      </c>
      <c r="J52" s="10">
        <f>Takstblad!J52*Aktivitetsoversigt!J20</f>
        <v>46120.269953432624</v>
      </c>
      <c r="K52" s="10">
        <f>Takstblad!K52*Aktivitetsoversigt!K20</f>
        <v>47503.8780520356</v>
      </c>
      <c r="L52" s="10">
        <f>Takstblad!L52*Aktivitetsoversigt!L20</f>
        <v>48928.99439359667</v>
      </c>
      <c r="M52" s="10">
        <f>Takstblad!M52*Aktivitetsoversigt!M20</f>
        <v>50396.86422540457</v>
      </c>
      <c r="N52" s="10">
        <f>Takstblad!N52*Aktivitetsoversigt!N20</f>
        <v>51908.770152166704</v>
      </c>
    </row>
    <row r="53" spans="1:14" ht="13.5" thickBot="1">
      <c r="A53" s="5" t="s">
        <v>138</v>
      </c>
      <c r="B53" s="5">
        <f>SUM(B36:B52)</f>
        <v>0</v>
      </c>
      <c r="C53" s="16">
        <f aca="true" t="shared" si="1" ref="C53:N53">SUM(C36:C52)</f>
        <v>52250</v>
      </c>
      <c r="D53" s="16">
        <f t="shared" si="1"/>
        <v>53817.5</v>
      </c>
      <c r="E53" s="16">
        <f t="shared" si="1"/>
        <v>55432.025</v>
      </c>
      <c r="F53" s="16">
        <f t="shared" si="1"/>
        <v>57094.98575000001</v>
      </c>
      <c r="G53" s="16">
        <f t="shared" si="1"/>
        <v>58807.8353225</v>
      </c>
      <c r="H53" s="16">
        <f t="shared" si="1"/>
        <v>60572.070382175</v>
      </c>
      <c r="I53" s="16">
        <f t="shared" si="1"/>
        <v>62389.23249364025</v>
      </c>
      <c r="J53" s="16">
        <f t="shared" si="1"/>
        <v>64260.909468449456</v>
      </c>
      <c r="K53" s="16">
        <f t="shared" si="1"/>
        <v>66188.73675250294</v>
      </c>
      <c r="L53" s="16">
        <f t="shared" si="1"/>
        <v>68174.39885507803</v>
      </c>
      <c r="M53" s="16">
        <f t="shared" si="1"/>
        <v>70219.63082073037</v>
      </c>
      <c r="N53" s="16">
        <f t="shared" si="1"/>
        <v>72326.21974535228</v>
      </c>
    </row>
    <row r="54" ht="14.25" thickBot="1" thickTop="1"/>
    <row r="55" spans="1:14" ht="13.5" thickBot="1">
      <c r="A55" s="15" t="s">
        <v>134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3.5" thickBot="1">
      <c r="A56" s="1" t="s">
        <v>5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2.75">
      <c r="A57" t="s">
        <v>7</v>
      </c>
      <c r="B57" s="10"/>
      <c r="C57" s="10">
        <f>Takstblad!C58*Medlemsstatus!C5*Aktivitetsoversigt!C26</f>
        <v>0</v>
      </c>
      <c r="D57" s="10">
        <f>Takstblad!D58*Medlemsstatus!D5*Aktivitetsoversigt!D26</f>
        <v>0</v>
      </c>
      <c r="E57" s="10">
        <f>Takstblad!E58*Medlemsstatus!E5*Aktivitetsoversigt!E26</f>
        <v>0</v>
      </c>
      <c r="F57" s="10">
        <f>Takstblad!F58*Medlemsstatus!F5*Aktivitetsoversigt!F26</f>
        <v>0</v>
      </c>
      <c r="G57" s="10">
        <f>Takstblad!G58*Medlemsstatus!G5*Aktivitetsoversigt!G26</f>
        <v>0</v>
      </c>
      <c r="H57" s="10">
        <f>Takstblad!H58*Medlemsstatus!H5*Aktivitetsoversigt!H26</f>
        <v>0</v>
      </c>
      <c r="I57" s="10">
        <f>Takstblad!I58*Medlemsstatus!I5*Aktivitetsoversigt!I26</f>
        <v>0</v>
      </c>
      <c r="J57" s="10">
        <f>Takstblad!J58*Medlemsstatus!J5*Aktivitetsoversigt!J26</f>
        <v>0</v>
      </c>
      <c r="K57" s="10">
        <f>Takstblad!K58*Medlemsstatus!K5*Aktivitetsoversigt!K26</f>
        <v>0</v>
      </c>
      <c r="L57" s="10">
        <f>Takstblad!L58*Medlemsstatus!L5*Aktivitetsoversigt!L26</f>
        <v>0</v>
      </c>
      <c r="M57" s="10">
        <f>Takstblad!M58*Medlemsstatus!M5*Aktivitetsoversigt!M26</f>
        <v>0</v>
      </c>
      <c r="N57" s="10">
        <f>Takstblad!N58*Medlemsstatus!N5*Aktivitetsoversigt!N26</f>
        <v>0</v>
      </c>
    </row>
    <row r="58" spans="1:14" ht="12.75">
      <c r="A58" t="s">
        <v>6</v>
      </c>
      <c r="B58" s="10"/>
      <c r="C58" s="10">
        <f>Takstblad!C59*Medlemsstatus!C6*Aktivitetsoversigt!C27</f>
        <v>30000</v>
      </c>
      <c r="D58" s="10">
        <f>Takstblad!D59*Medlemsstatus!D6*Aktivitetsoversigt!D27</f>
        <v>30900</v>
      </c>
      <c r="E58" s="10">
        <f>Takstblad!E59*Medlemsstatus!E6*Aktivitetsoversigt!E27</f>
        <v>31827</v>
      </c>
      <c r="F58" s="10">
        <f>Takstblad!F59*Medlemsstatus!F6*Aktivitetsoversigt!F27</f>
        <v>32781.81</v>
      </c>
      <c r="G58" s="10">
        <f>Takstblad!G59*Medlemsstatus!G6*Aktivitetsoversigt!G27</f>
        <v>33765.2643</v>
      </c>
      <c r="H58" s="10">
        <f>Takstblad!H59*Medlemsstatus!H6*Aktivitetsoversigt!H27</f>
        <v>34778.222229</v>
      </c>
      <c r="I58" s="10">
        <f>Takstblad!I59*Medlemsstatus!I6*Aktivitetsoversigt!I27</f>
        <v>35821.568895870005</v>
      </c>
      <c r="J58" s="10">
        <f>Takstblad!J59*Medlemsstatus!J6*Aktivitetsoversigt!J27</f>
        <v>36896.2159627461</v>
      </c>
      <c r="K58" s="10">
        <f>Takstblad!K59*Medlemsstatus!K6*Aktivitetsoversigt!K27</f>
        <v>38003.102441628485</v>
      </c>
      <c r="L58" s="10">
        <f>Takstblad!L59*Medlemsstatus!L6*Aktivitetsoversigt!L27</f>
        <v>39143.19551487734</v>
      </c>
      <c r="M58" s="10">
        <f>Takstblad!M59*Medlemsstatus!M6*Aktivitetsoversigt!M27</f>
        <v>40317.491380323656</v>
      </c>
      <c r="N58" s="10">
        <f>Takstblad!N59*Medlemsstatus!N6*Aktivitetsoversigt!N27</f>
        <v>41527.01612173336</v>
      </c>
    </row>
    <row r="59" spans="1:14" ht="12.75">
      <c r="A59" t="s">
        <v>8</v>
      </c>
      <c r="B59" s="10"/>
      <c r="C59" s="10">
        <f>Takstblad!C60*Medlemsstatus!C7*Aktivitetsoversigt!C28</f>
        <v>5700</v>
      </c>
      <c r="D59" s="10">
        <f>Takstblad!D60*Medlemsstatus!D7*Aktivitetsoversigt!D28</f>
        <v>5871.000000000001</v>
      </c>
      <c r="E59" s="10">
        <f>Takstblad!E60*Medlemsstatus!E7*Aktivitetsoversigt!E28</f>
        <v>6047.13</v>
      </c>
      <c r="F59" s="10">
        <f>Takstblad!F60*Medlemsstatus!F7*Aktivitetsoversigt!F28</f>
        <v>6228.543900000001</v>
      </c>
      <c r="G59" s="10">
        <f>Takstblad!G60*Medlemsstatus!G7*Aktivitetsoversigt!G28</f>
        <v>6415.400217</v>
      </c>
      <c r="H59" s="10">
        <f>Takstblad!H60*Medlemsstatus!H7*Aktivitetsoversigt!H28</f>
        <v>6607.86222351</v>
      </c>
      <c r="I59" s="10">
        <f>Takstblad!I60*Medlemsstatus!I7*Aktivitetsoversigt!I28</f>
        <v>6806.0980902153005</v>
      </c>
      <c r="J59" s="10">
        <f>Takstblad!J60*Medlemsstatus!J7*Aktivitetsoversigt!J28</f>
        <v>7010.281032921759</v>
      </c>
      <c r="K59" s="10">
        <f>Takstblad!K60*Medlemsstatus!K7*Aktivitetsoversigt!K28</f>
        <v>7220.589463909411</v>
      </c>
      <c r="L59" s="10">
        <f>Takstblad!L60*Medlemsstatus!L7*Aktivitetsoversigt!L28</f>
        <v>7437.207147826694</v>
      </c>
      <c r="M59" s="10">
        <f>Takstblad!M60*Medlemsstatus!M7*Aktivitetsoversigt!M28</f>
        <v>7660.323362261494</v>
      </c>
      <c r="N59" s="10">
        <f>Takstblad!N60*Medlemsstatus!N7*Aktivitetsoversigt!N28</f>
        <v>7890.1330631293395</v>
      </c>
    </row>
    <row r="60" spans="1:14" ht="12.75">
      <c r="A60" t="s">
        <v>17</v>
      </c>
      <c r="B60" s="10"/>
      <c r="C60" s="10">
        <f>Takstblad!C61*Medlemsstatus!C8*Aktivitetsoversigt!C29</f>
        <v>0</v>
      </c>
      <c r="D60" s="10">
        <f>Takstblad!D61*Medlemsstatus!D8*Aktivitetsoversigt!D29</f>
        <v>0</v>
      </c>
      <c r="E60" s="10">
        <f>Takstblad!E61*Medlemsstatus!E8*Aktivitetsoversigt!E29</f>
        <v>0</v>
      </c>
      <c r="F60" s="10">
        <f>Takstblad!F61*Medlemsstatus!F8*Aktivitetsoversigt!F29</f>
        <v>0</v>
      </c>
      <c r="G60" s="10">
        <f>Takstblad!G61*Medlemsstatus!G8*Aktivitetsoversigt!G29</f>
        <v>0</v>
      </c>
      <c r="H60" s="10">
        <f>Takstblad!H61*Medlemsstatus!H8*Aktivitetsoversigt!H29</f>
        <v>0</v>
      </c>
      <c r="I60" s="10">
        <f>Takstblad!I61*Medlemsstatus!I8*Aktivitetsoversigt!I29</f>
        <v>0</v>
      </c>
      <c r="J60" s="10">
        <f>Takstblad!J61*Medlemsstatus!J8*Aktivitetsoversigt!J29</f>
        <v>0</v>
      </c>
      <c r="K60" s="10">
        <f>Takstblad!K61*Medlemsstatus!K8*Aktivitetsoversigt!K29</f>
        <v>0</v>
      </c>
      <c r="L60" s="10">
        <f>Takstblad!L61*Medlemsstatus!L8*Aktivitetsoversigt!L29</f>
        <v>0</v>
      </c>
      <c r="M60" s="10">
        <f>Takstblad!M61*Medlemsstatus!M8*Aktivitetsoversigt!M29</f>
        <v>0</v>
      </c>
      <c r="N60" s="10">
        <f>Takstblad!N61*Medlemsstatus!N8*Aktivitetsoversigt!N29</f>
        <v>0</v>
      </c>
    </row>
    <row r="61" spans="2:14" ht="12.7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3.5" thickBot="1">
      <c r="A62" s="1" t="s">
        <v>16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2.75">
      <c r="A63" t="s">
        <v>7</v>
      </c>
      <c r="B63" s="10"/>
      <c r="C63" s="10">
        <f>Takstblad!C64*Medlemsstatus!C11*Aktivitetsoversigt!C32</f>
        <v>0</v>
      </c>
      <c r="D63" s="10">
        <f>Takstblad!D64*Medlemsstatus!D11*Aktivitetsoversigt!D32</f>
        <v>0</v>
      </c>
      <c r="E63" s="10">
        <f>Takstblad!E64*Medlemsstatus!E11*Aktivitetsoversigt!E32</f>
        <v>0</v>
      </c>
      <c r="F63" s="10">
        <f>Takstblad!F64*Medlemsstatus!F11*Aktivitetsoversigt!F32</f>
        <v>0</v>
      </c>
      <c r="G63" s="10">
        <f>Takstblad!G64*Medlemsstatus!G11*Aktivitetsoversigt!G32</f>
        <v>0</v>
      </c>
      <c r="H63" s="10">
        <f>Takstblad!H64*Medlemsstatus!H11*Aktivitetsoversigt!H32</f>
        <v>0</v>
      </c>
      <c r="I63" s="10">
        <f>Takstblad!I64*Medlemsstatus!I11*Aktivitetsoversigt!I32</f>
        <v>0</v>
      </c>
      <c r="J63" s="10">
        <f>Takstblad!J64*Medlemsstatus!J11*Aktivitetsoversigt!J32</f>
        <v>0</v>
      </c>
      <c r="K63" s="10">
        <f>Takstblad!K64*Medlemsstatus!K11*Aktivitetsoversigt!K32</f>
        <v>0</v>
      </c>
      <c r="L63" s="10">
        <f>Takstblad!L64*Medlemsstatus!L11*Aktivitetsoversigt!L32</f>
        <v>0</v>
      </c>
      <c r="M63" s="10">
        <f>Takstblad!M64*Medlemsstatus!M11*Aktivitetsoversigt!M32</f>
        <v>0</v>
      </c>
      <c r="N63" s="10">
        <f>Takstblad!N64*Medlemsstatus!N11*Aktivitetsoversigt!N32</f>
        <v>0</v>
      </c>
    </row>
    <row r="64" spans="1:14" ht="12.75">
      <c r="A64" t="s">
        <v>6</v>
      </c>
      <c r="B64" s="10"/>
      <c r="C64" s="10">
        <f>Takstblad!C65*Medlemsstatus!C12*Aktivitetsoversigt!C33</f>
        <v>0</v>
      </c>
      <c r="D64" s="10">
        <f>Takstblad!D65*Medlemsstatus!D12*Aktivitetsoversigt!D33</f>
        <v>0</v>
      </c>
      <c r="E64" s="10">
        <f>Takstblad!E65*Medlemsstatus!E12*Aktivitetsoversigt!E33</f>
        <v>0</v>
      </c>
      <c r="F64" s="10">
        <f>Takstblad!F65*Medlemsstatus!F12*Aktivitetsoversigt!F33</f>
        <v>0</v>
      </c>
      <c r="G64" s="10">
        <f>Takstblad!G65*Medlemsstatus!G12*Aktivitetsoversigt!G33</f>
        <v>0</v>
      </c>
      <c r="H64" s="10">
        <f>Takstblad!H65*Medlemsstatus!H12*Aktivitetsoversigt!H33</f>
        <v>0</v>
      </c>
      <c r="I64" s="10">
        <f>Takstblad!I65*Medlemsstatus!I12*Aktivitetsoversigt!I33</f>
        <v>0</v>
      </c>
      <c r="J64" s="10">
        <f>Takstblad!J65*Medlemsstatus!J12*Aktivitetsoversigt!J33</f>
        <v>0</v>
      </c>
      <c r="K64" s="10">
        <f>Takstblad!K65*Medlemsstatus!K12*Aktivitetsoversigt!K33</f>
        <v>0</v>
      </c>
      <c r="L64" s="10">
        <f>Takstblad!L65*Medlemsstatus!L12*Aktivitetsoversigt!L33</f>
        <v>0</v>
      </c>
      <c r="M64" s="10">
        <f>Takstblad!M65*Medlemsstatus!M12*Aktivitetsoversigt!M33</f>
        <v>0</v>
      </c>
      <c r="N64" s="10">
        <f>Takstblad!N65*Medlemsstatus!N12*Aktivitetsoversigt!N33</f>
        <v>0</v>
      </c>
    </row>
    <row r="65" spans="1:14" ht="12.75">
      <c r="A65" t="s">
        <v>8</v>
      </c>
      <c r="B65" s="10"/>
      <c r="C65" s="10">
        <f>Takstblad!C66*Medlemsstatus!C13*Aktivitetsoversigt!C34</f>
        <v>0</v>
      </c>
      <c r="D65" s="10">
        <f>Takstblad!D66*Medlemsstatus!D13*Aktivitetsoversigt!D34</f>
        <v>0</v>
      </c>
      <c r="E65" s="10">
        <f>Takstblad!E66*Medlemsstatus!E13*Aktivitetsoversigt!E34</f>
        <v>0</v>
      </c>
      <c r="F65" s="10">
        <f>Takstblad!F66*Medlemsstatus!F13*Aktivitetsoversigt!F34</f>
        <v>0</v>
      </c>
      <c r="G65" s="10">
        <f>Takstblad!G66*Medlemsstatus!G13*Aktivitetsoversigt!G34</f>
        <v>0</v>
      </c>
      <c r="H65" s="10">
        <f>Takstblad!H66*Medlemsstatus!H13*Aktivitetsoversigt!H34</f>
        <v>0</v>
      </c>
      <c r="I65" s="10">
        <f>Takstblad!I66*Medlemsstatus!I13*Aktivitetsoversigt!I34</f>
        <v>0</v>
      </c>
      <c r="J65" s="10">
        <f>Takstblad!J66*Medlemsstatus!J13*Aktivitetsoversigt!J34</f>
        <v>0</v>
      </c>
      <c r="K65" s="10">
        <f>Takstblad!K66*Medlemsstatus!K13*Aktivitetsoversigt!K34</f>
        <v>0</v>
      </c>
      <c r="L65" s="10">
        <f>Takstblad!L66*Medlemsstatus!L13*Aktivitetsoversigt!L34</f>
        <v>0</v>
      </c>
      <c r="M65" s="10">
        <f>Takstblad!M66*Medlemsstatus!M13*Aktivitetsoversigt!M34</f>
        <v>0</v>
      </c>
      <c r="N65" s="10">
        <f>Takstblad!N66*Medlemsstatus!N13*Aktivitetsoversigt!N34</f>
        <v>0</v>
      </c>
    </row>
    <row r="66" spans="1:14" ht="12.75">
      <c r="A66" t="s">
        <v>17</v>
      </c>
      <c r="B66" s="10"/>
      <c r="C66" s="10">
        <f>Takstblad!C67*Medlemsstatus!C14*Aktivitetsoversigt!C35</f>
        <v>0</v>
      </c>
      <c r="D66" s="10">
        <f>Takstblad!D67*Medlemsstatus!D14*Aktivitetsoversigt!D35</f>
        <v>0</v>
      </c>
      <c r="E66" s="10">
        <f>Takstblad!E67*Medlemsstatus!E14*Aktivitetsoversigt!E35</f>
        <v>0</v>
      </c>
      <c r="F66" s="10">
        <f>Takstblad!F67*Medlemsstatus!F14*Aktivitetsoversigt!F35</f>
        <v>0</v>
      </c>
      <c r="G66" s="10">
        <f>Takstblad!G67*Medlemsstatus!G14*Aktivitetsoversigt!G35</f>
        <v>0</v>
      </c>
      <c r="H66" s="10">
        <f>Takstblad!H67*Medlemsstatus!H14*Aktivitetsoversigt!H35</f>
        <v>0</v>
      </c>
      <c r="I66" s="10">
        <f>Takstblad!I67*Medlemsstatus!I14*Aktivitetsoversigt!I35</f>
        <v>0</v>
      </c>
      <c r="J66" s="10">
        <f>Takstblad!J67*Medlemsstatus!J14*Aktivitetsoversigt!J35</f>
        <v>0</v>
      </c>
      <c r="K66" s="10">
        <f>Takstblad!K67*Medlemsstatus!K14*Aktivitetsoversigt!K35</f>
        <v>0</v>
      </c>
      <c r="L66" s="10">
        <f>Takstblad!L67*Medlemsstatus!L14*Aktivitetsoversigt!L35</f>
        <v>0</v>
      </c>
      <c r="M66" s="10">
        <f>Takstblad!M67*Medlemsstatus!M14*Aktivitetsoversigt!M35</f>
        <v>0</v>
      </c>
      <c r="N66" s="10">
        <f>Takstblad!N67*Medlemsstatus!N14*Aktivitetsoversigt!N35</f>
        <v>0</v>
      </c>
    </row>
    <row r="67" spans="2:14" ht="12.7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2.75">
      <c r="A68" t="s">
        <v>9</v>
      </c>
      <c r="B68" s="10"/>
      <c r="C68" s="10">
        <f>Takstblad!C69*Medlemsstatus!C22*Aktivitetsoversigt!C37</f>
        <v>0</v>
      </c>
      <c r="D68" s="10">
        <f>Takstblad!D69*Medlemsstatus!D22*Aktivitetsoversigt!D37</f>
        <v>0</v>
      </c>
      <c r="E68" s="10">
        <f>Takstblad!E69*Medlemsstatus!E22*Aktivitetsoversigt!E37</f>
        <v>0</v>
      </c>
      <c r="F68" s="10">
        <f>Takstblad!F69*Medlemsstatus!F22*Aktivitetsoversigt!F37</f>
        <v>0</v>
      </c>
      <c r="G68" s="10">
        <f>Takstblad!G69*Medlemsstatus!G22*Aktivitetsoversigt!G37</f>
        <v>0</v>
      </c>
      <c r="H68" s="10">
        <f>Takstblad!H69*Medlemsstatus!H22*Aktivitetsoversigt!H37</f>
        <v>0</v>
      </c>
      <c r="I68" s="10">
        <f>Takstblad!I69*Medlemsstatus!I22*Aktivitetsoversigt!I37</f>
        <v>0</v>
      </c>
      <c r="J68" s="10">
        <f>Takstblad!J69*Medlemsstatus!J22*Aktivitetsoversigt!J37</f>
        <v>0</v>
      </c>
      <c r="K68" s="10">
        <f>Takstblad!K69*Medlemsstatus!K22*Aktivitetsoversigt!K37</f>
        <v>0</v>
      </c>
      <c r="L68" s="10">
        <f>Takstblad!L69*Medlemsstatus!L22*Aktivitetsoversigt!L37</f>
        <v>0</v>
      </c>
      <c r="M68" s="10">
        <f>Takstblad!M69*Medlemsstatus!M22*Aktivitetsoversigt!M37</f>
        <v>0</v>
      </c>
      <c r="N68" s="10">
        <f>Takstblad!N69*Medlemsstatus!N22*Aktivitetsoversigt!N37</f>
        <v>0</v>
      </c>
    </row>
    <row r="69" spans="1:14" ht="12.75">
      <c r="A69" t="s">
        <v>28</v>
      </c>
      <c r="B69" s="10"/>
      <c r="C69" s="10">
        <f>Takstblad!C70*Medlemsstatus!C23*Aktivitetsoversigt!C38</f>
        <v>0</v>
      </c>
      <c r="D69" s="10">
        <f>Takstblad!D70*Medlemsstatus!D23*Aktivitetsoversigt!D38</f>
        <v>0</v>
      </c>
      <c r="E69" s="10">
        <f>Takstblad!E70*Medlemsstatus!E23*Aktivitetsoversigt!E38</f>
        <v>0</v>
      </c>
      <c r="F69" s="10">
        <f>Takstblad!F70*Medlemsstatus!F23*Aktivitetsoversigt!F38</f>
        <v>0</v>
      </c>
      <c r="G69" s="10">
        <f>Takstblad!G70*Medlemsstatus!G23*Aktivitetsoversigt!G38</f>
        <v>0</v>
      </c>
      <c r="H69" s="10">
        <f>Takstblad!H70*Medlemsstatus!H23*Aktivitetsoversigt!H38</f>
        <v>0</v>
      </c>
      <c r="I69" s="10">
        <f>Takstblad!I70*Medlemsstatus!I23*Aktivitetsoversigt!I38</f>
        <v>0</v>
      </c>
      <c r="J69" s="10">
        <f>Takstblad!J70*Medlemsstatus!J23*Aktivitetsoversigt!J38</f>
        <v>0</v>
      </c>
      <c r="K69" s="10">
        <f>Takstblad!K70*Medlemsstatus!K23*Aktivitetsoversigt!K38</f>
        <v>0</v>
      </c>
      <c r="L69" s="10">
        <f>Takstblad!L70*Medlemsstatus!L23*Aktivitetsoversigt!L38</f>
        <v>0</v>
      </c>
      <c r="M69" s="10">
        <f>Takstblad!M70*Medlemsstatus!M23*Aktivitetsoversigt!M38</f>
        <v>0</v>
      </c>
      <c r="N69" s="10">
        <f>Takstblad!N70*Medlemsstatus!N23*Aktivitetsoversigt!N38</f>
        <v>0</v>
      </c>
    </row>
    <row r="70" spans="2:14" ht="12.7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2.75">
      <c r="A71" t="s">
        <v>15</v>
      </c>
      <c r="B71" s="10"/>
      <c r="C71" s="10">
        <f>Takstblad!C78*Medlemsstatus!C31*Aktivitetsoversigt!C40</f>
        <v>0</v>
      </c>
      <c r="D71" s="10">
        <f>Takstblad!D78*Medlemsstatus!D31*Aktivitetsoversigt!D40</f>
        <v>0</v>
      </c>
      <c r="E71" s="10">
        <f>Takstblad!E78*Medlemsstatus!E31*Aktivitetsoversigt!E40</f>
        <v>0</v>
      </c>
      <c r="F71" s="10">
        <f>Takstblad!F78*Medlemsstatus!F31*Aktivitetsoversigt!F40</f>
        <v>0</v>
      </c>
      <c r="G71" s="10">
        <f>Takstblad!G78*Medlemsstatus!G31*Aktivitetsoversigt!G40</f>
        <v>0</v>
      </c>
      <c r="H71" s="10">
        <f>Takstblad!H78*Medlemsstatus!H31*Aktivitetsoversigt!H40</f>
        <v>0</v>
      </c>
      <c r="I71" s="10">
        <f>Takstblad!I78*Medlemsstatus!I31*Aktivitetsoversigt!I40</f>
        <v>0</v>
      </c>
      <c r="J71" s="10">
        <f>Takstblad!J78*Medlemsstatus!J31*Aktivitetsoversigt!J40</f>
        <v>0</v>
      </c>
      <c r="K71" s="10">
        <f>Takstblad!K78*Medlemsstatus!K31*Aktivitetsoversigt!K40</f>
        <v>0</v>
      </c>
      <c r="L71" s="10">
        <f>Takstblad!L78*Medlemsstatus!L31*Aktivitetsoversigt!L40</f>
        <v>0</v>
      </c>
      <c r="M71" s="10">
        <f>Takstblad!M78*Medlemsstatus!M31*Aktivitetsoversigt!M40</f>
        <v>0</v>
      </c>
      <c r="N71" s="10">
        <f>Takstblad!N78*Medlemsstatus!N31*Aktivitetsoversigt!N40</f>
        <v>0</v>
      </c>
    </row>
    <row r="72" spans="1:14" ht="12.75">
      <c r="A72" t="s">
        <v>128</v>
      </c>
      <c r="B72" s="10"/>
      <c r="C72" s="10">
        <f>Takstblad!C79*Medlemsstatus!C32*Aktivitetsoversigt!C41</f>
        <v>0</v>
      </c>
      <c r="D72" s="10">
        <f>Takstblad!D79*Medlemsstatus!D32*Aktivitetsoversigt!D41</f>
        <v>0</v>
      </c>
      <c r="E72" s="10">
        <f>Takstblad!E79*Medlemsstatus!E32*Aktivitetsoversigt!E41</f>
        <v>0</v>
      </c>
      <c r="F72" s="10">
        <f>Takstblad!F79*Medlemsstatus!F32*Aktivitetsoversigt!F41</f>
        <v>0</v>
      </c>
      <c r="G72" s="10">
        <f>Takstblad!G79*Medlemsstatus!G32*Aktivitetsoversigt!G41</f>
        <v>0</v>
      </c>
      <c r="H72" s="10">
        <f>Takstblad!H79*Medlemsstatus!H32*Aktivitetsoversigt!H41</f>
        <v>0</v>
      </c>
      <c r="I72" s="10">
        <f>Takstblad!I79*Medlemsstatus!I32*Aktivitetsoversigt!I41</f>
        <v>0</v>
      </c>
      <c r="J72" s="10">
        <f>Takstblad!J79*Medlemsstatus!J32*Aktivitetsoversigt!J41</f>
        <v>0</v>
      </c>
      <c r="K72" s="10">
        <f>Takstblad!K79*Medlemsstatus!K32*Aktivitetsoversigt!K41</f>
        <v>0</v>
      </c>
      <c r="L72" s="10">
        <f>Takstblad!L79*Medlemsstatus!L32*Aktivitetsoversigt!L41</f>
        <v>0</v>
      </c>
      <c r="M72" s="10">
        <f>Takstblad!M79*Medlemsstatus!M32*Aktivitetsoversigt!M41</f>
        <v>0</v>
      </c>
      <c r="N72" s="10">
        <f>Takstblad!N79*Medlemsstatus!N32*Aktivitetsoversigt!N41</f>
        <v>0</v>
      </c>
    </row>
    <row r="73" spans="2:14" ht="12.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3.5" thickBot="1">
      <c r="A74" s="5" t="s">
        <v>139</v>
      </c>
      <c r="B74" s="16">
        <f>SUM(B57:B72)</f>
        <v>0</v>
      </c>
      <c r="C74" s="16">
        <f aca="true" t="shared" si="2" ref="C74:N74">SUM(C57:C72)</f>
        <v>35700</v>
      </c>
      <c r="D74" s="16">
        <f t="shared" si="2"/>
        <v>36771</v>
      </c>
      <c r="E74" s="16">
        <f t="shared" si="2"/>
        <v>37874.13</v>
      </c>
      <c r="F74" s="16">
        <f t="shared" si="2"/>
        <v>39010.3539</v>
      </c>
      <c r="G74" s="16">
        <f t="shared" si="2"/>
        <v>40180.664517000005</v>
      </c>
      <c r="H74" s="16">
        <f t="shared" si="2"/>
        <v>41386.08445251</v>
      </c>
      <c r="I74" s="16">
        <f t="shared" si="2"/>
        <v>42627.66698608531</v>
      </c>
      <c r="J74" s="16">
        <f t="shared" si="2"/>
        <v>43906.49699566786</v>
      </c>
      <c r="K74" s="16">
        <f t="shared" si="2"/>
        <v>45223.6919055379</v>
      </c>
      <c r="L74" s="16">
        <f t="shared" si="2"/>
        <v>46580.40266270404</v>
      </c>
      <c r="M74" s="16">
        <f t="shared" si="2"/>
        <v>47977.81474258515</v>
      </c>
      <c r="N74" s="16">
        <f t="shared" si="2"/>
        <v>49417.1491848627</v>
      </c>
    </row>
    <row r="75" ht="14.25" thickBot="1" thickTop="1"/>
    <row r="76" spans="2:14" ht="13.5" thickBot="1">
      <c r="B76" s="6">
        <v>2008</v>
      </c>
      <c r="C76" s="7">
        <v>2009</v>
      </c>
      <c r="D76" s="7">
        <v>2010</v>
      </c>
      <c r="E76" s="7">
        <v>2011</v>
      </c>
      <c r="F76" s="7">
        <v>2012</v>
      </c>
      <c r="G76" s="7">
        <v>2013</v>
      </c>
      <c r="H76" s="7">
        <v>2014</v>
      </c>
      <c r="I76" s="7">
        <v>2015</v>
      </c>
      <c r="J76" s="7">
        <v>2016</v>
      </c>
      <c r="K76" s="7">
        <v>2017</v>
      </c>
      <c r="L76" s="7">
        <v>2018</v>
      </c>
      <c r="M76" s="7">
        <v>2019</v>
      </c>
      <c r="N76" s="8">
        <v>2020</v>
      </c>
    </row>
    <row r="77" spans="1:14" ht="13.5" thickBot="1">
      <c r="A77" s="15" t="s">
        <v>135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3.5" thickBot="1">
      <c r="A78" s="1" t="s">
        <v>5</v>
      </c>
      <c r="B78" s="2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2.75">
      <c r="A79" t="s">
        <v>7</v>
      </c>
      <c r="B79" s="10"/>
      <c r="C79" s="10">
        <f>Takstblad!C85*Medlemsstatus!C5*Aktivitetsoversigt!C47</f>
        <v>11250</v>
      </c>
      <c r="D79" s="10">
        <f>Takstblad!D85*Medlemsstatus!D5*Aktivitetsoversigt!D47</f>
        <v>11587.5</v>
      </c>
      <c r="E79" s="10">
        <f>Takstblad!E85*Medlemsstatus!E5*Aktivitetsoversigt!E47</f>
        <v>11935.125</v>
      </c>
      <c r="F79" s="10">
        <f>Takstblad!F85*Medlemsstatus!F5*Aktivitetsoversigt!F47</f>
        <v>12293.17875</v>
      </c>
      <c r="G79" s="10">
        <f>Takstblad!G85*Medlemsstatus!G5*Aktivitetsoversigt!G47</f>
        <v>12661.974112499998</v>
      </c>
      <c r="H79" s="10">
        <f>Takstblad!H85*Medlemsstatus!H5*Aktivitetsoversigt!H47</f>
        <v>13041.833335874997</v>
      </c>
      <c r="I79" s="10">
        <f>Takstblad!I85*Medlemsstatus!I5*Aktivitetsoversigt!I47</f>
        <v>13433.088335951248</v>
      </c>
      <c r="J79" s="10">
        <f>Takstblad!J85*Medlemsstatus!J5*Aktivitetsoversigt!J47</f>
        <v>13836.080986029785</v>
      </c>
      <c r="K79" s="10">
        <f>Takstblad!K85*Medlemsstatus!K5*Aktivitetsoversigt!K47</f>
        <v>14251.16341561068</v>
      </c>
      <c r="L79" s="10">
        <f>Takstblad!L85*Medlemsstatus!L5*Aktivitetsoversigt!L47</f>
        <v>14678.698318079001</v>
      </c>
      <c r="M79" s="10">
        <f>Takstblad!M85*Medlemsstatus!M5*Aktivitetsoversigt!M47</f>
        <v>15119.059267621371</v>
      </c>
      <c r="N79" s="10">
        <f>Takstblad!N85*Medlemsstatus!N5*Aktivitetsoversigt!N47</f>
        <v>15572.63104565001</v>
      </c>
    </row>
    <row r="80" spans="1:14" ht="12.75">
      <c r="A80" t="s">
        <v>6</v>
      </c>
      <c r="B80" s="10"/>
      <c r="C80" s="10">
        <f>Takstblad!C86*Medlemsstatus!C6*Aktivitetsoversigt!C48</f>
        <v>45000</v>
      </c>
      <c r="D80" s="10">
        <f>Takstblad!D86*Medlemsstatus!D6*Aktivitetsoversigt!D48</f>
        <v>46349.99999999999</v>
      </c>
      <c r="E80" s="10">
        <f>Takstblad!E86*Medlemsstatus!E6*Aktivitetsoversigt!E48</f>
        <v>47740.5</v>
      </c>
      <c r="F80" s="10">
        <f>Takstblad!F86*Medlemsstatus!F6*Aktivitetsoversigt!F48</f>
        <v>49172.715</v>
      </c>
      <c r="G80" s="10">
        <f>Takstblad!G86*Medlemsstatus!G6*Aktivitetsoversigt!G48</f>
        <v>50647.89645000001</v>
      </c>
      <c r="H80" s="10">
        <f>Takstblad!H86*Medlemsstatus!H6*Aktivitetsoversigt!H48</f>
        <v>52167.3333435</v>
      </c>
      <c r="I80" s="10">
        <f>Takstblad!I86*Medlemsstatus!I6*Aktivitetsoversigt!I48</f>
        <v>53732.353343805</v>
      </c>
      <c r="J80" s="10">
        <f>Takstblad!J86*Medlemsstatus!J6*Aktivitetsoversigt!J48</f>
        <v>55344.323944119154</v>
      </c>
      <c r="K80" s="10">
        <f>Takstblad!K86*Medlemsstatus!K6*Aktivitetsoversigt!K48</f>
        <v>57004.653662442724</v>
      </c>
      <c r="L80" s="10">
        <f>Takstblad!L86*Medlemsstatus!L6*Aktivitetsoversigt!L48</f>
        <v>58714.793272316005</v>
      </c>
      <c r="M80" s="10">
        <f>Takstblad!M86*Medlemsstatus!M6*Aktivitetsoversigt!M48</f>
        <v>60476.2370704855</v>
      </c>
      <c r="N80" s="10">
        <f>Takstblad!N86*Medlemsstatus!N6*Aktivitetsoversigt!N48</f>
        <v>62290.52418260005</v>
      </c>
    </row>
    <row r="81" spans="1:14" ht="12.75">
      <c r="A81" t="s">
        <v>8</v>
      </c>
      <c r="B81" s="10"/>
      <c r="C81" s="10">
        <f>Takstblad!C87*Medlemsstatus!C7*Aktivitetsoversigt!C49</f>
        <v>3040</v>
      </c>
      <c r="D81" s="10">
        <f>Takstblad!D87*Medlemsstatus!D7*Aktivitetsoversigt!D49</f>
        <v>3131.2000000000003</v>
      </c>
      <c r="E81" s="10">
        <f>Takstblad!E87*Medlemsstatus!E7*Aktivitetsoversigt!E49</f>
        <v>3225.136</v>
      </c>
      <c r="F81" s="10">
        <f>Takstblad!F87*Medlemsstatus!F7*Aktivitetsoversigt!F49</f>
        <v>3321.89008</v>
      </c>
      <c r="G81" s="10">
        <f>Takstblad!G87*Medlemsstatus!G7*Aktivitetsoversigt!G49</f>
        <v>3421.5467824</v>
      </c>
      <c r="H81" s="10">
        <f>Takstblad!H87*Medlemsstatus!H7*Aktivitetsoversigt!H49</f>
        <v>3524.193185872</v>
      </c>
      <c r="I81" s="10">
        <f>Takstblad!I87*Medlemsstatus!I7*Aktivitetsoversigt!I49</f>
        <v>3629.91898144816</v>
      </c>
      <c r="J81" s="10">
        <f>Takstblad!J87*Medlemsstatus!J7*Aktivitetsoversigt!J49</f>
        <v>3738.816550891605</v>
      </c>
      <c r="K81" s="10">
        <f>Takstblad!K87*Medlemsstatus!K7*Aktivitetsoversigt!K49</f>
        <v>3850.981047418353</v>
      </c>
      <c r="L81" s="10">
        <f>Takstblad!L87*Medlemsstatus!L7*Aktivitetsoversigt!L49</f>
        <v>3966.5104788409035</v>
      </c>
      <c r="M81" s="10">
        <f>Takstblad!M87*Medlemsstatus!M7*Aktivitetsoversigt!M49</f>
        <v>4085.5057932061304</v>
      </c>
      <c r="N81" s="10">
        <f>Takstblad!N87*Medlemsstatus!N7*Aktivitetsoversigt!N49</f>
        <v>4208.070967002314</v>
      </c>
    </row>
    <row r="82" spans="1:14" ht="12.75">
      <c r="A82" t="s">
        <v>17</v>
      </c>
      <c r="B82" s="10"/>
      <c r="C82" s="10">
        <f>Takstblad!C88*Medlemsstatus!C8*Aktivitetsoversigt!C50</f>
        <v>0</v>
      </c>
      <c r="D82" s="10">
        <f>Takstblad!D88*Medlemsstatus!D8*Aktivitetsoversigt!D50</f>
        <v>0</v>
      </c>
      <c r="E82" s="10">
        <f>Takstblad!E88*Medlemsstatus!E8*Aktivitetsoversigt!E50</f>
        <v>0</v>
      </c>
      <c r="F82" s="10">
        <f>Takstblad!F88*Medlemsstatus!F8*Aktivitetsoversigt!F50</f>
        <v>0</v>
      </c>
      <c r="G82" s="10">
        <f>Takstblad!G88*Medlemsstatus!G8*Aktivitetsoversigt!G50</f>
        <v>0</v>
      </c>
      <c r="H82" s="10">
        <f>Takstblad!H88*Medlemsstatus!H8*Aktivitetsoversigt!H50</f>
        <v>0</v>
      </c>
      <c r="I82" s="10">
        <f>Takstblad!I88*Medlemsstatus!I8*Aktivitetsoversigt!I50</f>
        <v>0</v>
      </c>
      <c r="J82" s="10">
        <f>Takstblad!J88*Medlemsstatus!J8*Aktivitetsoversigt!J50</f>
        <v>0</v>
      </c>
      <c r="K82" s="10">
        <f>Takstblad!K88*Medlemsstatus!K8*Aktivitetsoversigt!K50</f>
        <v>0</v>
      </c>
      <c r="L82" s="10">
        <f>Takstblad!L88*Medlemsstatus!L8*Aktivitetsoversigt!L50</f>
        <v>0</v>
      </c>
      <c r="M82" s="10">
        <f>Takstblad!M88*Medlemsstatus!M8*Aktivitetsoversigt!M50</f>
        <v>0</v>
      </c>
      <c r="N82" s="10">
        <f>Takstblad!N88*Medlemsstatus!N8*Aktivitetsoversigt!N50</f>
        <v>0</v>
      </c>
    </row>
    <row r="83" spans="2:14" ht="12.7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ht="13.5" thickBot="1">
      <c r="A84" s="1" t="s">
        <v>16</v>
      </c>
      <c r="B84" s="2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ht="12.75">
      <c r="A85" t="s">
        <v>7</v>
      </c>
      <c r="B85" s="10"/>
      <c r="C85" s="10">
        <f>Takstblad!C91*Medlemsstatus!C11*Aktivitetsoversigt!C53</f>
        <v>1800</v>
      </c>
      <c r="D85" s="10">
        <f>Takstblad!D91*Medlemsstatus!D11*Aktivitetsoversigt!D53</f>
        <v>1854</v>
      </c>
      <c r="E85" s="10">
        <f>Takstblad!E91*Medlemsstatus!E11*Aktivitetsoversigt!E53</f>
        <v>1909.6199999999997</v>
      </c>
      <c r="F85" s="10">
        <f>Takstblad!F91*Medlemsstatus!F11*Aktivitetsoversigt!F53</f>
        <v>1966.9085999999998</v>
      </c>
      <c r="G85" s="10">
        <f>Takstblad!G91*Medlemsstatus!G11*Aktivitetsoversigt!G53</f>
        <v>2025.9158579999998</v>
      </c>
      <c r="H85" s="10">
        <f>Takstblad!H91*Medlemsstatus!H11*Aktivitetsoversigt!H53</f>
        <v>2086.69333374</v>
      </c>
      <c r="I85" s="10">
        <f>Takstblad!I91*Medlemsstatus!I11*Aktivitetsoversigt!I53</f>
        <v>2149.2941337521997</v>
      </c>
      <c r="J85" s="10">
        <f>Takstblad!J91*Medlemsstatus!J11*Aktivitetsoversigt!J53</f>
        <v>2213.7729577647656</v>
      </c>
      <c r="K85" s="10">
        <f>Takstblad!K91*Medlemsstatus!K11*Aktivitetsoversigt!K53</f>
        <v>2280.1861464977087</v>
      </c>
      <c r="L85" s="10">
        <f>Takstblad!L91*Medlemsstatus!L11*Aktivitetsoversigt!L53</f>
        <v>2348.59173089264</v>
      </c>
      <c r="M85" s="10">
        <f>Takstblad!M91*Medlemsstatus!M11*Aktivitetsoversigt!M53</f>
        <v>2419.049482819419</v>
      </c>
      <c r="N85" s="10">
        <f>Takstblad!N91*Medlemsstatus!N11*Aktivitetsoversigt!N53</f>
        <v>2491.620967304002</v>
      </c>
    </row>
    <row r="86" spans="1:14" ht="12.75">
      <c r="A86" t="s">
        <v>6</v>
      </c>
      <c r="B86" s="10"/>
      <c r="C86" s="10">
        <f>Takstblad!C92*Medlemsstatus!C12*Aktivitetsoversigt!C54</f>
        <v>0</v>
      </c>
      <c r="D86" s="10">
        <f>Takstblad!D92*Medlemsstatus!D12*Aktivitetsoversigt!D54</f>
        <v>0</v>
      </c>
      <c r="E86" s="10">
        <f>Takstblad!E92*Medlemsstatus!E12*Aktivitetsoversigt!E54</f>
        <v>0</v>
      </c>
      <c r="F86" s="10">
        <f>Takstblad!F92*Medlemsstatus!F12*Aktivitetsoversigt!F54</f>
        <v>0</v>
      </c>
      <c r="G86" s="10">
        <f>Takstblad!G92*Medlemsstatus!G12*Aktivitetsoversigt!G54</f>
        <v>0</v>
      </c>
      <c r="H86" s="10">
        <f>Takstblad!H92*Medlemsstatus!H12*Aktivitetsoversigt!H54</f>
        <v>0</v>
      </c>
      <c r="I86" s="10">
        <f>Takstblad!I92*Medlemsstatus!I12*Aktivitetsoversigt!I54</f>
        <v>0</v>
      </c>
      <c r="J86" s="10">
        <f>Takstblad!J92*Medlemsstatus!J12*Aktivitetsoversigt!J54</f>
        <v>0</v>
      </c>
      <c r="K86" s="10">
        <f>Takstblad!K92*Medlemsstatus!K12*Aktivitetsoversigt!K54</f>
        <v>0</v>
      </c>
      <c r="L86" s="10">
        <f>Takstblad!L92*Medlemsstatus!L12*Aktivitetsoversigt!L54</f>
        <v>0</v>
      </c>
      <c r="M86" s="10">
        <f>Takstblad!M92*Medlemsstatus!M12*Aktivitetsoversigt!M54</f>
        <v>0</v>
      </c>
      <c r="N86" s="10">
        <f>Takstblad!N92*Medlemsstatus!N12*Aktivitetsoversigt!N54</f>
        <v>0</v>
      </c>
    </row>
    <row r="87" spans="1:14" ht="12.75">
      <c r="A87" t="s">
        <v>8</v>
      </c>
      <c r="B87" s="10"/>
      <c r="C87" s="10">
        <f>Takstblad!C93*Medlemsstatus!C13*Aktivitetsoversigt!C55</f>
        <v>0</v>
      </c>
      <c r="D87" s="10">
        <f>Takstblad!D93*Medlemsstatus!D13*Aktivitetsoversigt!D55</f>
        <v>0</v>
      </c>
      <c r="E87" s="10">
        <f>Takstblad!E93*Medlemsstatus!E13*Aktivitetsoversigt!E55</f>
        <v>0</v>
      </c>
      <c r="F87" s="10">
        <f>Takstblad!F93*Medlemsstatus!F13*Aktivitetsoversigt!F55</f>
        <v>0</v>
      </c>
      <c r="G87" s="10">
        <f>Takstblad!G93*Medlemsstatus!G13*Aktivitetsoversigt!G55</f>
        <v>0</v>
      </c>
      <c r="H87" s="10">
        <f>Takstblad!H93*Medlemsstatus!H13*Aktivitetsoversigt!H55</f>
        <v>0</v>
      </c>
      <c r="I87" s="10">
        <f>Takstblad!I93*Medlemsstatus!I13*Aktivitetsoversigt!I55</f>
        <v>0</v>
      </c>
      <c r="J87" s="10">
        <f>Takstblad!J93*Medlemsstatus!J13*Aktivitetsoversigt!J55</f>
        <v>0</v>
      </c>
      <c r="K87" s="10">
        <f>Takstblad!K93*Medlemsstatus!K13*Aktivitetsoversigt!K55</f>
        <v>0</v>
      </c>
      <c r="L87" s="10">
        <f>Takstblad!L93*Medlemsstatus!L13*Aktivitetsoversigt!L55</f>
        <v>0</v>
      </c>
      <c r="M87" s="10">
        <f>Takstblad!M93*Medlemsstatus!M13*Aktivitetsoversigt!M55</f>
        <v>0</v>
      </c>
      <c r="N87" s="10">
        <f>Takstblad!N93*Medlemsstatus!N13*Aktivitetsoversigt!N55</f>
        <v>0</v>
      </c>
    </row>
    <row r="88" spans="1:14" ht="12.75">
      <c r="A88" t="s">
        <v>17</v>
      </c>
      <c r="B88" s="10"/>
      <c r="C88" s="10">
        <f>Takstblad!C94*Medlemsstatus!C14*Aktivitetsoversigt!C56</f>
        <v>0</v>
      </c>
      <c r="D88" s="10">
        <f>Takstblad!D94*Medlemsstatus!D14*Aktivitetsoversigt!D56</f>
        <v>0</v>
      </c>
      <c r="E88" s="10">
        <f>Takstblad!E94*Medlemsstatus!E14*Aktivitetsoversigt!E56</f>
        <v>0</v>
      </c>
      <c r="F88" s="10">
        <f>Takstblad!F94*Medlemsstatus!F14*Aktivitetsoversigt!F56</f>
        <v>0</v>
      </c>
      <c r="G88" s="10">
        <f>Takstblad!G94*Medlemsstatus!G14*Aktivitetsoversigt!G56</f>
        <v>0</v>
      </c>
      <c r="H88" s="10">
        <f>Takstblad!H94*Medlemsstatus!H14*Aktivitetsoversigt!H56</f>
        <v>0</v>
      </c>
      <c r="I88" s="10">
        <f>Takstblad!I94*Medlemsstatus!I14*Aktivitetsoversigt!I56</f>
        <v>0</v>
      </c>
      <c r="J88" s="10">
        <f>Takstblad!J94*Medlemsstatus!J14*Aktivitetsoversigt!J56</f>
        <v>0</v>
      </c>
      <c r="K88" s="10">
        <f>Takstblad!K94*Medlemsstatus!K14*Aktivitetsoversigt!K56</f>
        <v>0</v>
      </c>
      <c r="L88" s="10">
        <f>Takstblad!L94*Medlemsstatus!L14*Aktivitetsoversigt!L56</f>
        <v>0</v>
      </c>
      <c r="M88" s="10">
        <f>Takstblad!M94*Medlemsstatus!M14*Aktivitetsoversigt!M56</f>
        <v>0</v>
      </c>
      <c r="N88" s="10">
        <f>Takstblad!N94*Medlemsstatus!N14*Aktivitetsoversigt!N56</f>
        <v>0</v>
      </c>
    </row>
    <row r="89" spans="2:14" ht="12.7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1:14" ht="12.75">
      <c r="A90" t="s">
        <v>9</v>
      </c>
      <c r="B90" s="10"/>
      <c r="C90" s="10">
        <f>Takstblad!C96*Medlemsstatus!C22*Aktivitetsoversigt!C58</f>
        <v>0</v>
      </c>
      <c r="D90" s="10">
        <f>Takstblad!D96*Medlemsstatus!D22*Aktivitetsoversigt!D58</f>
        <v>0</v>
      </c>
      <c r="E90" s="10">
        <f>Takstblad!E96*Medlemsstatus!E22*Aktivitetsoversigt!E58</f>
        <v>0</v>
      </c>
      <c r="F90" s="10">
        <f>Takstblad!F96*Medlemsstatus!F22*Aktivitetsoversigt!F58</f>
        <v>0</v>
      </c>
      <c r="G90" s="10">
        <f>Takstblad!G96*Medlemsstatus!G22*Aktivitetsoversigt!G58</f>
        <v>0</v>
      </c>
      <c r="H90" s="10">
        <f>Takstblad!H96*Medlemsstatus!H22*Aktivitetsoversigt!H58</f>
        <v>0</v>
      </c>
      <c r="I90" s="10">
        <f>Takstblad!I96*Medlemsstatus!I22*Aktivitetsoversigt!I58</f>
        <v>0</v>
      </c>
      <c r="J90" s="10">
        <f>Takstblad!J96*Medlemsstatus!J22*Aktivitetsoversigt!J58</f>
        <v>0</v>
      </c>
      <c r="K90" s="10">
        <f>Takstblad!K96*Medlemsstatus!K22*Aktivitetsoversigt!K58</f>
        <v>0</v>
      </c>
      <c r="L90" s="10">
        <f>Takstblad!L96*Medlemsstatus!L22*Aktivitetsoversigt!L58</f>
        <v>0</v>
      </c>
      <c r="M90" s="10">
        <f>Takstblad!M96*Medlemsstatus!M22*Aktivitetsoversigt!M58</f>
        <v>0</v>
      </c>
      <c r="N90" s="10">
        <f>Takstblad!N96*Medlemsstatus!N22*Aktivitetsoversigt!N58</f>
        <v>0</v>
      </c>
    </row>
    <row r="91" spans="1:14" ht="12.75">
      <c r="A91" t="s">
        <v>28</v>
      </c>
      <c r="B91" s="10"/>
      <c r="C91" s="10">
        <f>Takstblad!C97*Medlemsstatus!C23*Aktivitetsoversigt!C59</f>
        <v>0</v>
      </c>
      <c r="D91" s="10">
        <f>Takstblad!D97*Medlemsstatus!D23*Aktivitetsoversigt!D59</f>
        <v>0</v>
      </c>
      <c r="E91" s="10">
        <f>Takstblad!E97*Medlemsstatus!E23*Aktivitetsoversigt!E59</f>
        <v>0</v>
      </c>
      <c r="F91" s="10">
        <f>Takstblad!F97*Medlemsstatus!F23*Aktivitetsoversigt!F59</f>
        <v>0</v>
      </c>
      <c r="G91" s="10">
        <f>Takstblad!G97*Medlemsstatus!G23*Aktivitetsoversigt!G59</f>
        <v>0</v>
      </c>
      <c r="H91" s="10">
        <f>Takstblad!H97*Medlemsstatus!H23*Aktivitetsoversigt!H59</f>
        <v>0</v>
      </c>
      <c r="I91" s="10">
        <f>Takstblad!I97*Medlemsstatus!I23*Aktivitetsoversigt!I59</f>
        <v>0</v>
      </c>
      <c r="J91" s="10">
        <f>Takstblad!J97*Medlemsstatus!J23*Aktivitetsoversigt!J59</f>
        <v>0</v>
      </c>
      <c r="K91" s="10">
        <f>Takstblad!K97*Medlemsstatus!K23*Aktivitetsoversigt!K59</f>
        <v>0</v>
      </c>
      <c r="L91" s="10">
        <f>Takstblad!L97*Medlemsstatus!L23*Aktivitetsoversigt!L59</f>
        <v>0</v>
      </c>
      <c r="M91" s="10">
        <f>Takstblad!M97*Medlemsstatus!M23*Aktivitetsoversigt!M59</f>
        <v>0</v>
      </c>
      <c r="N91" s="10">
        <f>Takstblad!N97*Medlemsstatus!N23*Aktivitetsoversigt!N59</f>
        <v>0</v>
      </c>
    </row>
    <row r="92" spans="2:14" ht="12.7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</row>
    <row r="93" spans="1:14" ht="12.75">
      <c r="A93" t="s">
        <v>15</v>
      </c>
      <c r="B93" s="10"/>
      <c r="C93" s="10">
        <f>Takstblad!C99*Medlemsstatus!C31*Aktivitetsoversigt!C61</f>
        <v>0</v>
      </c>
      <c r="D93" s="10">
        <f>Takstblad!D99*Medlemsstatus!D31*Aktivitetsoversigt!D61</f>
        <v>0</v>
      </c>
      <c r="E93" s="10">
        <f>Takstblad!E99*Medlemsstatus!E31*Aktivitetsoversigt!E61</f>
        <v>0</v>
      </c>
      <c r="F93" s="10">
        <f>Takstblad!F99*Medlemsstatus!F31*Aktivitetsoversigt!F61</f>
        <v>0</v>
      </c>
      <c r="G93" s="10">
        <f>Takstblad!G99*Medlemsstatus!G31*Aktivitetsoversigt!G61</f>
        <v>0</v>
      </c>
      <c r="H93" s="10">
        <f>Takstblad!H99*Medlemsstatus!H31*Aktivitetsoversigt!H61</f>
        <v>0</v>
      </c>
      <c r="I93" s="10">
        <f>Takstblad!I99*Medlemsstatus!I31*Aktivitetsoversigt!I61</f>
        <v>0</v>
      </c>
      <c r="J93" s="10">
        <f>Takstblad!J99*Medlemsstatus!J31*Aktivitetsoversigt!J61</f>
        <v>0</v>
      </c>
      <c r="K93" s="10">
        <f>Takstblad!K99*Medlemsstatus!K31*Aktivitetsoversigt!K61</f>
        <v>0</v>
      </c>
      <c r="L93" s="10">
        <f>Takstblad!L99*Medlemsstatus!L31*Aktivitetsoversigt!L61</f>
        <v>0</v>
      </c>
      <c r="M93" s="10">
        <f>Takstblad!M99*Medlemsstatus!M31*Aktivitetsoversigt!M61</f>
        <v>0</v>
      </c>
      <c r="N93" s="10">
        <f>Takstblad!N99*Medlemsstatus!N31*Aktivitetsoversigt!N61</f>
        <v>0</v>
      </c>
    </row>
    <row r="94" spans="1:14" ht="13.5" thickBot="1">
      <c r="A94" s="5" t="s">
        <v>140</v>
      </c>
      <c r="B94" s="16">
        <f>SUM(B79:B93)</f>
        <v>0</v>
      </c>
      <c r="C94" s="16">
        <f aca="true" t="shared" si="3" ref="C94:N94">SUM(C79:C93)</f>
        <v>61090</v>
      </c>
      <c r="D94" s="16">
        <f t="shared" si="3"/>
        <v>62922.69999999999</v>
      </c>
      <c r="E94" s="16">
        <f t="shared" si="3"/>
        <v>64810.381</v>
      </c>
      <c r="F94" s="16">
        <f t="shared" si="3"/>
        <v>66754.69243</v>
      </c>
      <c r="G94" s="16">
        <f t="shared" si="3"/>
        <v>68757.3332029</v>
      </c>
      <c r="H94" s="16">
        <f t="shared" si="3"/>
        <v>70820.05319898699</v>
      </c>
      <c r="I94" s="16">
        <f t="shared" si="3"/>
        <v>72944.65479495662</v>
      </c>
      <c r="J94" s="16">
        <f t="shared" si="3"/>
        <v>75132.99443880531</v>
      </c>
      <c r="K94" s="16">
        <f t="shared" si="3"/>
        <v>77386.98427196946</v>
      </c>
      <c r="L94" s="16">
        <f t="shared" si="3"/>
        <v>79708.59380012855</v>
      </c>
      <c r="M94" s="16">
        <f t="shared" si="3"/>
        <v>82099.85161413242</v>
      </c>
      <c r="N94" s="16">
        <f t="shared" si="3"/>
        <v>84562.84716255638</v>
      </c>
    </row>
    <row r="95" spans="1:14" ht="14.25" thickBot="1" thickTop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3.5" thickBot="1">
      <c r="A96" s="2"/>
      <c r="B96" s="6">
        <v>2008</v>
      </c>
      <c r="C96" s="7">
        <v>2009</v>
      </c>
      <c r="D96" s="7">
        <v>2010</v>
      </c>
      <c r="E96" s="7">
        <v>2011</v>
      </c>
      <c r="F96" s="7">
        <v>2012</v>
      </c>
      <c r="G96" s="7">
        <v>2013</v>
      </c>
      <c r="H96" s="7">
        <v>2014</v>
      </c>
      <c r="I96" s="7">
        <v>2015</v>
      </c>
      <c r="J96" s="7">
        <v>2016</v>
      </c>
      <c r="K96" s="7">
        <v>2017</v>
      </c>
      <c r="L96" s="7">
        <v>2018</v>
      </c>
      <c r="M96" s="7">
        <v>2019</v>
      </c>
      <c r="N96" s="8">
        <v>2020</v>
      </c>
    </row>
    <row r="97" ht="13.5" thickBot="1"/>
    <row r="98" ht="13.5" thickBot="1">
      <c r="A98" s="15" t="s">
        <v>136</v>
      </c>
    </row>
    <row r="99" spans="1:14" ht="13.5" thickBot="1">
      <c r="A99" s="1" t="s">
        <v>5</v>
      </c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spans="1:14" ht="12.75">
      <c r="A100" t="s">
        <v>7</v>
      </c>
      <c r="B100" s="10"/>
      <c r="C100" s="10">
        <f>(Takstblad!C105*Medlemsstatus!C5*Aktivitetsoversigt!C67)+(Takstblad!C105*Medlemsstatus!C5*Aktivitetsoversigt!C67)</f>
        <v>1875</v>
      </c>
      <c r="D100" s="10">
        <f>(Takstblad!D105*Medlemsstatus!D5*Aktivitetsoversigt!D67)+(Takstblad!D105*Medlemsstatus!D5*Aktivitetsoversigt!D67)</f>
        <v>1931.25</v>
      </c>
      <c r="E100" s="10">
        <f>(Takstblad!E105*Medlemsstatus!E5*Aktivitetsoversigt!E67)+(Takstblad!E105*Medlemsstatus!E5*Aktivitetsoversigt!E67)</f>
        <v>1989.1875</v>
      </c>
      <c r="F100" s="10">
        <f>(Takstblad!F105*Medlemsstatus!F5*Aktivitetsoversigt!F67)+(Takstblad!F105*Medlemsstatus!F5*Aktivitetsoversigt!F67)</f>
        <v>2048.863125</v>
      </c>
      <c r="G100" s="10">
        <f>(Takstblad!G105*Medlemsstatus!G5*Aktivitetsoversigt!G67)+(Takstblad!G105*Medlemsstatus!G5*Aktivitetsoversigt!G67)</f>
        <v>2110.3290187499997</v>
      </c>
      <c r="H100" s="10">
        <f>(Takstblad!H105*Medlemsstatus!H5*Aktivitetsoversigt!H67)+(Takstblad!H105*Medlemsstatus!H5*Aktivitetsoversigt!H67)</f>
        <v>2173.6388893124995</v>
      </c>
      <c r="I100" s="10">
        <f>(Takstblad!I105*Medlemsstatus!I5*Aktivitetsoversigt!I67)+(Takstblad!I105*Medlemsstatus!I5*Aktivitetsoversigt!I67)</f>
        <v>2238.848055991875</v>
      </c>
      <c r="J100" s="10">
        <f>(Takstblad!J105*Medlemsstatus!J5*Aktivitetsoversigt!J67)+(Takstblad!J105*Medlemsstatus!J5*Aktivitetsoversigt!J67)</f>
        <v>2306.013497671631</v>
      </c>
      <c r="K100" s="10">
        <f>(Takstblad!K105*Medlemsstatus!K5*Aktivitetsoversigt!K67)+(Takstblad!K105*Medlemsstatus!K5*Aktivitetsoversigt!K67)</f>
        <v>2375.19390260178</v>
      </c>
      <c r="L100" s="10">
        <f>(Takstblad!L105*Medlemsstatus!L5*Aktivitetsoversigt!L67)+(Takstblad!L105*Medlemsstatus!L5*Aktivitetsoversigt!L67)</f>
        <v>2446.4497196798334</v>
      </c>
      <c r="M100" s="10">
        <f>(Takstblad!M105*Medlemsstatus!M5*Aktivitetsoversigt!M67)+(Takstblad!M105*Medlemsstatus!M5*Aktivitetsoversigt!M67)</f>
        <v>2519.8432112702285</v>
      </c>
      <c r="N100" s="10">
        <f>(Takstblad!N105*Medlemsstatus!N5*Aktivitetsoversigt!N67)+(Takstblad!N105*Medlemsstatus!N5*Aktivitetsoversigt!N67)</f>
        <v>2595.438507608335</v>
      </c>
    </row>
    <row r="101" spans="1:14" ht="12.75">
      <c r="A101" t="s">
        <v>6</v>
      </c>
      <c r="B101" s="10"/>
      <c r="C101" s="10">
        <f>(Takstblad!C106*Medlemsstatus!C6*Aktivitetsoversigt!C68)+(Takstblad!C106*Medlemsstatus!C6*Aktivitetsoversigt!C68)</f>
        <v>600</v>
      </c>
      <c r="D101" s="10">
        <f>(Takstblad!D106*Medlemsstatus!D6*Aktivitetsoversigt!D68)+(Takstblad!D106*Medlemsstatus!D6*Aktivitetsoversigt!D68)</f>
        <v>618</v>
      </c>
      <c r="E101" s="10">
        <f>(Takstblad!E106*Medlemsstatus!E6*Aktivitetsoversigt!E68)+(Takstblad!E106*Medlemsstatus!E6*Aktivitetsoversigt!E68)</f>
        <v>636.54</v>
      </c>
      <c r="F101" s="10">
        <f>(Takstblad!F106*Medlemsstatus!F6*Aktivitetsoversigt!F68)+(Takstblad!F106*Medlemsstatus!F6*Aktivitetsoversigt!F68)</f>
        <v>655.6361999999999</v>
      </c>
      <c r="G101" s="10">
        <f>(Takstblad!G106*Medlemsstatus!G6*Aktivitetsoversigt!G68)+(Takstblad!G106*Medlemsstatus!G6*Aktivitetsoversigt!G68)</f>
        <v>675.305286</v>
      </c>
      <c r="H101" s="10">
        <f>(Takstblad!H106*Medlemsstatus!H6*Aktivitetsoversigt!H68)+(Takstblad!H106*Medlemsstatus!H6*Aktivitetsoversigt!H68)</f>
        <v>695.5644445799999</v>
      </c>
      <c r="I101" s="10">
        <f>(Takstblad!I106*Medlemsstatus!I6*Aktivitetsoversigt!I68)+(Takstblad!I106*Medlemsstatus!I6*Aktivitetsoversigt!I68)</f>
        <v>716.4313779173999</v>
      </c>
      <c r="J101" s="10">
        <f>(Takstblad!J106*Medlemsstatus!J6*Aktivitetsoversigt!J68)+(Takstblad!J106*Medlemsstatus!J6*Aktivitetsoversigt!J68)</f>
        <v>737.924319254922</v>
      </c>
      <c r="K101" s="10">
        <f>(Takstblad!K106*Medlemsstatus!K6*Aktivitetsoversigt!K68)+(Takstblad!K106*Medlemsstatus!K6*Aktivitetsoversigt!K68)</f>
        <v>760.0620488325695</v>
      </c>
      <c r="L101" s="10">
        <f>(Takstblad!L106*Medlemsstatus!L6*Aktivitetsoversigt!L68)+(Takstblad!L106*Medlemsstatus!L6*Aktivitetsoversigt!L68)</f>
        <v>782.8639102975467</v>
      </c>
      <c r="M101" s="10">
        <f>(Takstblad!M106*Medlemsstatus!M6*Aktivitetsoversigt!M68)+(Takstblad!M106*Medlemsstatus!M6*Aktivitetsoversigt!M68)</f>
        <v>806.3498276064731</v>
      </c>
      <c r="N101" s="10">
        <f>(Takstblad!N106*Medlemsstatus!N6*Aktivitetsoversigt!N68)+(Takstblad!N106*Medlemsstatus!N6*Aktivitetsoversigt!N68)</f>
        <v>830.5403224346674</v>
      </c>
    </row>
    <row r="102" spans="1:14" ht="12.75">
      <c r="A102" t="s">
        <v>8</v>
      </c>
      <c r="B102" s="10"/>
      <c r="C102" s="10">
        <f>(Takstblad!C107*Medlemsstatus!C7*Aktivitetsoversigt!C69)+(Takstblad!C107*Medlemsstatus!C7*Aktivitetsoversigt!C69)</f>
        <v>0</v>
      </c>
      <c r="D102" s="10">
        <f>(Takstblad!D107*Medlemsstatus!D7*Aktivitetsoversigt!D69)+(Takstblad!D107*Medlemsstatus!D7*Aktivitetsoversigt!D69)</f>
        <v>0</v>
      </c>
      <c r="E102" s="10">
        <f>(Takstblad!E107*Medlemsstatus!E7*Aktivitetsoversigt!E69)+(Takstblad!E107*Medlemsstatus!E7*Aktivitetsoversigt!E69)</f>
        <v>0</v>
      </c>
      <c r="F102" s="10">
        <f>(Takstblad!F107*Medlemsstatus!F7*Aktivitetsoversigt!F69)+(Takstblad!F107*Medlemsstatus!F7*Aktivitetsoversigt!F69)</f>
        <v>0</v>
      </c>
      <c r="G102" s="10">
        <f>(Takstblad!G107*Medlemsstatus!G7*Aktivitetsoversigt!G69)+(Takstblad!G107*Medlemsstatus!G7*Aktivitetsoversigt!G69)</f>
        <v>0</v>
      </c>
      <c r="H102" s="10">
        <f>(Takstblad!H107*Medlemsstatus!H7*Aktivitetsoversigt!H69)+(Takstblad!H107*Medlemsstatus!H7*Aktivitetsoversigt!H69)</f>
        <v>0</v>
      </c>
      <c r="I102" s="10">
        <f>(Takstblad!I107*Medlemsstatus!I7*Aktivitetsoversigt!I69)+(Takstblad!I107*Medlemsstatus!I7*Aktivitetsoversigt!I69)</f>
        <v>0</v>
      </c>
      <c r="J102" s="10">
        <f>(Takstblad!J107*Medlemsstatus!J7*Aktivitetsoversigt!J69)+(Takstblad!J107*Medlemsstatus!J7*Aktivitetsoversigt!J69)</f>
        <v>0</v>
      </c>
      <c r="K102" s="10">
        <f>(Takstblad!K107*Medlemsstatus!K7*Aktivitetsoversigt!K69)+(Takstblad!K107*Medlemsstatus!K7*Aktivitetsoversigt!K69)</f>
        <v>0</v>
      </c>
      <c r="L102" s="10">
        <f>(Takstblad!L107*Medlemsstatus!L7*Aktivitetsoversigt!L69)+(Takstblad!L107*Medlemsstatus!L7*Aktivitetsoversigt!L69)</f>
        <v>0</v>
      </c>
      <c r="M102" s="10">
        <f>(Takstblad!M107*Medlemsstatus!M7*Aktivitetsoversigt!M69)+(Takstblad!M107*Medlemsstatus!M7*Aktivitetsoversigt!M69)</f>
        <v>0</v>
      </c>
      <c r="N102" s="10">
        <f>(Takstblad!N107*Medlemsstatus!N7*Aktivitetsoversigt!N69)+(Takstblad!N107*Medlemsstatus!N7*Aktivitetsoversigt!N69)</f>
        <v>0</v>
      </c>
    </row>
    <row r="103" spans="1:14" ht="12.75">
      <c r="A103" t="s">
        <v>17</v>
      </c>
      <c r="B103" s="10"/>
      <c r="C103" s="10">
        <f>Takstblad!C108*Medlemsstatus!C8*Aktivitetsoversigt!C70</f>
        <v>0</v>
      </c>
      <c r="D103" s="10">
        <f>Takstblad!D108*Medlemsstatus!D8*Aktivitetsoversigt!D70</f>
        <v>0</v>
      </c>
      <c r="E103" s="10">
        <f>Takstblad!E108*Medlemsstatus!E8*Aktivitetsoversigt!E70</f>
        <v>0</v>
      </c>
      <c r="F103" s="10">
        <f>Takstblad!F108*Medlemsstatus!F8*Aktivitetsoversigt!F70</f>
        <v>0</v>
      </c>
      <c r="G103" s="10">
        <f>Takstblad!G108*Medlemsstatus!G8*Aktivitetsoversigt!G70</f>
        <v>0</v>
      </c>
      <c r="H103" s="10">
        <f>Takstblad!H108*Medlemsstatus!H8*Aktivitetsoversigt!H70</f>
        <v>0</v>
      </c>
      <c r="I103" s="10">
        <f>Takstblad!I108*Medlemsstatus!I8*Aktivitetsoversigt!I70</f>
        <v>0</v>
      </c>
      <c r="J103" s="10">
        <f>Takstblad!J108*Medlemsstatus!J8*Aktivitetsoversigt!J70</f>
        <v>0</v>
      </c>
      <c r="K103" s="10">
        <f>Takstblad!K108*Medlemsstatus!K8*Aktivitetsoversigt!K70</f>
        <v>0</v>
      </c>
      <c r="L103" s="10">
        <f>Takstblad!L108*Medlemsstatus!L8*Aktivitetsoversigt!L70</f>
        <v>0</v>
      </c>
      <c r="M103" s="10">
        <f>Takstblad!M108*Medlemsstatus!M8*Aktivitetsoversigt!M70</f>
        <v>0</v>
      </c>
      <c r="N103" s="10">
        <f>Takstblad!N108*Medlemsstatus!N8*Aktivitetsoversigt!N70</f>
        <v>0</v>
      </c>
    </row>
    <row r="104" spans="2:14" ht="12.7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ht="13.5" thickBot="1">
      <c r="A105" s="1" t="s">
        <v>16</v>
      </c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6" spans="1:14" ht="12.75">
      <c r="A106" t="s">
        <v>7</v>
      </c>
      <c r="B106" s="10"/>
      <c r="C106" s="10">
        <f>(Takstblad!C111*Medlemsstatus!C11*Aktivitetsoversigt!C73)+(Takstblad!C111*Medlemsstatus!C11*Aktivitetsoversigt!C73)</f>
        <v>225</v>
      </c>
      <c r="D106" s="10">
        <f>(Takstblad!D111*Medlemsstatus!D11*Aktivitetsoversigt!D73)+(Takstblad!D111*Medlemsstatus!D11*Aktivitetsoversigt!D73)</f>
        <v>231.75</v>
      </c>
      <c r="E106" s="10">
        <f>(Takstblad!E111*Medlemsstatus!E11*Aktivitetsoversigt!E73)+(Takstblad!E111*Medlemsstatus!E11*Aktivitetsoversigt!E73)</f>
        <v>238.70249999999996</v>
      </c>
      <c r="F106" s="10">
        <f>(Takstblad!F111*Medlemsstatus!F11*Aktivitetsoversigt!F73)+(Takstblad!F111*Medlemsstatus!F11*Aktivitetsoversigt!F73)</f>
        <v>245.86357499999997</v>
      </c>
      <c r="G106" s="10">
        <f>(Takstblad!G111*Medlemsstatus!G11*Aktivitetsoversigt!G73)+(Takstblad!G111*Medlemsstatus!G11*Aktivitetsoversigt!G73)</f>
        <v>253.23948224999998</v>
      </c>
      <c r="H106" s="10">
        <f>(Takstblad!H111*Medlemsstatus!H11*Aktivitetsoversigt!H73)+(Takstblad!H111*Medlemsstatus!H11*Aktivitetsoversigt!H73)</f>
        <v>260.8366667175</v>
      </c>
      <c r="I106" s="10">
        <f>(Takstblad!I111*Medlemsstatus!I11*Aktivitetsoversigt!I73)+(Takstblad!I111*Medlemsstatus!I11*Aktivitetsoversigt!I73)</f>
        <v>268.66176671902497</v>
      </c>
      <c r="J106" s="10">
        <f>(Takstblad!J111*Medlemsstatus!J11*Aktivitetsoversigt!J73)+(Takstblad!J111*Medlemsstatus!J11*Aktivitetsoversigt!J73)</f>
        <v>276.7216197205957</v>
      </c>
      <c r="K106" s="10">
        <f>(Takstblad!K111*Medlemsstatus!K11*Aktivitetsoversigt!K73)+(Takstblad!K111*Medlemsstatus!K11*Aktivitetsoversigt!K73)</f>
        <v>285.0232683122136</v>
      </c>
      <c r="L106" s="10">
        <f>(Takstblad!L111*Medlemsstatus!L11*Aktivitetsoversigt!L73)+(Takstblad!L111*Medlemsstatus!L11*Aktivitetsoversigt!L73)</f>
        <v>293.57396636158</v>
      </c>
      <c r="M106" s="10">
        <f>(Takstblad!M111*Medlemsstatus!M11*Aktivitetsoversigt!M73)+(Takstblad!M111*Medlemsstatus!M11*Aktivitetsoversigt!M73)</f>
        <v>302.3811853524274</v>
      </c>
      <c r="N106" s="10">
        <f>(Takstblad!N111*Medlemsstatus!N11*Aktivitetsoversigt!N73)+(Takstblad!N111*Medlemsstatus!N11*Aktivitetsoversigt!N73)</f>
        <v>311.45262091300026</v>
      </c>
    </row>
    <row r="107" spans="1:14" ht="12.75">
      <c r="A107" t="s">
        <v>6</v>
      </c>
      <c r="B107" s="10"/>
      <c r="C107" s="10">
        <f>(Takstblad!C112*Medlemsstatus!C12*Aktivitetsoversigt!C74)+(Takstblad!C112*Medlemsstatus!C12*Aktivitetsoversigt!C74)</f>
        <v>0</v>
      </c>
      <c r="D107" s="10">
        <f>(Takstblad!D112*Medlemsstatus!D12*Aktivitetsoversigt!D74)+(Takstblad!D112*Medlemsstatus!D12*Aktivitetsoversigt!D74)</f>
        <v>0</v>
      </c>
      <c r="E107" s="10">
        <f>(Takstblad!E112*Medlemsstatus!E12*Aktivitetsoversigt!E74)+(Takstblad!E112*Medlemsstatus!E12*Aktivitetsoversigt!E74)</f>
        <v>0</v>
      </c>
      <c r="F107" s="10">
        <f>(Takstblad!F112*Medlemsstatus!F12*Aktivitetsoversigt!F74)+(Takstblad!F112*Medlemsstatus!F12*Aktivitetsoversigt!F74)</f>
        <v>0</v>
      </c>
      <c r="G107" s="10">
        <f>(Takstblad!G112*Medlemsstatus!G12*Aktivitetsoversigt!G74)+(Takstblad!G112*Medlemsstatus!G12*Aktivitetsoversigt!G74)</f>
        <v>0</v>
      </c>
      <c r="H107" s="10">
        <f>(Takstblad!H112*Medlemsstatus!H12*Aktivitetsoversigt!H74)+(Takstblad!H112*Medlemsstatus!H12*Aktivitetsoversigt!H74)</f>
        <v>0</v>
      </c>
      <c r="I107" s="10">
        <f>(Takstblad!I112*Medlemsstatus!I12*Aktivitetsoversigt!I74)+(Takstblad!I112*Medlemsstatus!I12*Aktivitetsoversigt!I74)</f>
        <v>0</v>
      </c>
      <c r="J107" s="10">
        <f>(Takstblad!J112*Medlemsstatus!J12*Aktivitetsoversigt!J74)+(Takstblad!J112*Medlemsstatus!J12*Aktivitetsoversigt!J74)</f>
        <v>0</v>
      </c>
      <c r="K107" s="10">
        <f>(Takstblad!K112*Medlemsstatus!K12*Aktivitetsoversigt!K74)+(Takstblad!K112*Medlemsstatus!K12*Aktivitetsoversigt!K74)</f>
        <v>0</v>
      </c>
      <c r="L107" s="10">
        <f>(Takstblad!L112*Medlemsstatus!L12*Aktivitetsoversigt!L74)+(Takstblad!L112*Medlemsstatus!L12*Aktivitetsoversigt!L74)</f>
        <v>0</v>
      </c>
      <c r="M107" s="10">
        <f>(Takstblad!M112*Medlemsstatus!M12*Aktivitetsoversigt!M74)+(Takstblad!M112*Medlemsstatus!M12*Aktivitetsoversigt!M74)</f>
        <v>0</v>
      </c>
      <c r="N107" s="10">
        <f>(Takstblad!N112*Medlemsstatus!N12*Aktivitetsoversigt!N74)+(Takstblad!N112*Medlemsstatus!N12*Aktivitetsoversigt!N74)</f>
        <v>0</v>
      </c>
    </row>
    <row r="108" spans="1:14" ht="12.75">
      <c r="A108" t="s">
        <v>8</v>
      </c>
      <c r="B108" s="10"/>
      <c r="C108" s="10">
        <f>(Takstblad!C113*Medlemsstatus!C13*Aktivitetsoversigt!C75)+(Takstblad!C113*Medlemsstatus!C13*Aktivitetsoversigt!C75)</f>
        <v>0</v>
      </c>
      <c r="D108" s="10">
        <f>(Takstblad!D113*Medlemsstatus!D13*Aktivitetsoversigt!D75)+(Takstblad!D113*Medlemsstatus!D13*Aktivitetsoversigt!D75)</f>
        <v>0</v>
      </c>
      <c r="E108" s="10">
        <f>(Takstblad!E113*Medlemsstatus!E13*Aktivitetsoversigt!E75)+(Takstblad!E113*Medlemsstatus!E13*Aktivitetsoversigt!E75)</f>
        <v>0</v>
      </c>
      <c r="F108" s="10">
        <f>(Takstblad!F113*Medlemsstatus!F13*Aktivitetsoversigt!F75)+(Takstblad!F113*Medlemsstatus!F13*Aktivitetsoversigt!F75)</f>
        <v>0</v>
      </c>
      <c r="G108" s="10">
        <f>(Takstblad!G113*Medlemsstatus!G13*Aktivitetsoversigt!G75)+(Takstblad!G113*Medlemsstatus!G13*Aktivitetsoversigt!G75)</f>
        <v>0</v>
      </c>
      <c r="H108" s="10">
        <f>(Takstblad!H113*Medlemsstatus!H13*Aktivitetsoversigt!H75)+(Takstblad!H113*Medlemsstatus!H13*Aktivitetsoversigt!H75)</f>
        <v>0</v>
      </c>
      <c r="I108" s="10">
        <f>(Takstblad!I113*Medlemsstatus!I13*Aktivitetsoversigt!I75)+(Takstblad!I113*Medlemsstatus!I13*Aktivitetsoversigt!I75)</f>
        <v>0</v>
      </c>
      <c r="J108" s="10">
        <f>(Takstblad!J113*Medlemsstatus!J13*Aktivitetsoversigt!J75)+(Takstblad!J113*Medlemsstatus!J13*Aktivitetsoversigt!J75)</f>
        <v>0</v>
      </c>
      <c r="K108" s="10">
        <f>(Takstblad!K113*Medlemsstatus!K13*Aktivitetsoversigt!K75)+(Takstblad!K113*Medlemsstatus!K13*Aktivitetsoversigt!K75)</f>
        <v>0</v>
      </c>
      <c r="L108" s="10">
        <f>(Takstblad!L113*Medlemsstatus!L13*Aktivitetsoversigt!L75)+(Takstblad!L113*Medlemsstatus!L13*Aktivitetsoversigt!L75)</f>
        <v>0</v>
      </c>
      <c r="M108" s="10">
        <f>(Takstblad!M113*Medlemsstatus!M13*Aktivitetsoversigt!M75)+(Takstblad!M113*Medlemsstatus!M13*Aktivitetsoversigt!M75)</f>
        <v>0</v>
      </c>
      <c r="N108" s="10">
        <f>(Takstblad!N113*Medlemsstatus!N13*Aktivitetsoversigt!N75)+(Takstblad!N113*Medlemsstatus!N13*Aktivitetsoversigt!N75)</f>
        <v>0</v>
      </c>
    </row>
    <row r="109" spans="1:14" ht="12.75">
      <c r="A109" t="s">
        <v>17</v>
      </c>
      <c r="B109" s="10"/>
      <c r="C109" s="10">
        <f>Takstblad!C114*Medlemsstatus!C14*Aktivitetsoversigt!C76</f>
        <v>0</v>
      </c>
      <c r="D109" s="10">
        <f>Takstblad!D114*Medlemsstatus!D14*Aktivitetsoversigt!D76</f>
        <v>0</v>
      </c>
      <c r="E109" s="10">
        <f>Takstblad!E114*Medlemsstatus!E14*Aktivitetsoversigt!E76</f>
        <v>0</v>
      </c>
      <c r="F109" s="10">
        <f>Takstblad!F114*Medlemsstatus!F14*Aktivitetsoversigt!F76</f>
        <v>0</v>
      </c>
      <c r="G109" s="10">
        <f>Takstblad!G114*Medlemsstatus!G14*Aktivitetsoversigt!G76</f>
        <v>0</v>
      </c>
      <c r="H109" s="10">
        <f>Takstblad!H114*Medlemsstatus!H14*Aktivitetsoversigt!H76</f>
        <v>0</v>
      </c>
      <c r="I109" s="10">
        <f>Takstblad!I114*Medlemsstatus!I14*Aktivitetsoversigt!I76</f>
        <v>0</v>
      </c>
      <c r="J109" s="10">
        <f>Takstblad!J114*Medlemsstatus!J14*Aktivitetsoversigt!J76</f>
        <v>0</v>
      </c>
      <c r="K109" s="10">
        <f>Takstblad!K114*Medlemsstatus!K14*Aktivitetsoversigt!K76</f>
        <v>0</v>
      </c>
      <c r="L109" s="10">
        <f>Takstblad!L114*Medlemsstatus!L14*Aktivitetsoversigt!L76</f>
        <v>0</v>
      </c>
      <c r="M109" s="10">
        <f>Takstblad!M114*Medlemsstatus!M14*Aktivitetsoversigt!M76</f>
        <v>0</v>
      </c>
      <c r="N109" s="10">
        <f>Takstblad!N114*Medlemsstatus!N14*Aktivitetsoversigt!N76</f>
        <v>0</v>
      </c>
    </row>
    <row r="110" spans="2:14" ht="12.75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12.75">
      <c r="A111" t="s">
        <v>9</v>
      </c>
      <c r="B111" s="10"/>
      <c r="C111" s="10">
        <f>Takstblad!C116*Medlemsstatus!C22*Aktivitetsoversigt!C78</f>
        <v>0</v>
      </c>
      <c r="D111" s="10">
        <f>Takstblad!D116*Medlemsstatus!D22*Aktivitetsoversigt!D78</f>
        <v>0</v>
      </c>
      <c r="E111" s="10">
        <f>Takstblad!E116*Medlemsstatus!E22*Aktivitetsoversigt!E78</f>
        <v>0</v>
      </c>
      <c r="F111" s="10">
        <f>Takstblad!F116*Medlemsstatus!F22*Aktivitetsoversigt!F78</f>
        <v>0</v>
      </c>
      <c r="G111" s="10">
        <f>Takstblad!G116*Medlemsstatus!G22*Aktivitetsoversigt!G78</f>
        <v>0</v>
      </c>
      <c r="H111" s="10">
        <f>Takstblad!H116*Medlemsstatus!H22*Aktivitetsoversigt!H78</f>
        <v>0</v>
      </c>
      <c r="I111" s="10">
        <f>Takstblad!I116*Medlemsstatus!I22*Aktivitetsoversigt!I78</f>
        <v>0</v>
      </c>
      <c r="J111" s="10">
        <f>Takstblad!J116*Medlemsstatus!J22*Aktivitetsoversigt!J78</f>
        <v>0</v>
      </c>
      <c r="K111" s="10">
        <f>Takstblad!K116*Medlemsstatus!K22*Aktivitetsoversigt!K78</f>
        <v>0</v>
      </c>
      <c r="L111" s="10">
        <f>Takstblad!L116*Medlemsstatus!L22*Aktivitetsoversigt!L78</f>
        <v>0</v>
      </c>
      <c r="M111" s="10">
        <f>Takstblad!M116*Medlemsstatus!M22*Aktivitetsoversigt!M78</f>
        <v>0</v>
      </c>
      <c r="N111" s="10">
        <f>Takstblad!N116*Medlemsstatus!N22*Aktivitetsoversigt!N78</f>
        <v>0</v>
      </c>
    </row>
    <row r="112" spans="1:14" ht="12.75">
      <c r="A112" t="s">
        <v>28</v>
      </c>
      <c r="B112" s="10"/>
      <c r="C112" s="10">
        <f>Takstblad!C117*Medlemsstatus!C23*Aktivitetsoversigt!C79</f>
        <v>0</v>
      </c>
      <c r="D112" s="10">
        <f>Takstblad!D117*Medlemsstatus!D23*Aktivitetsoversigt!D79</f>
        <v>0</v>
      </c>
      <c r="E112" s="10">
        <f>Takstblad!E117*Medlemsstatus!E23*Aktivitetsoversigt!E79</f>
        <v>0</v>
      </c>
      <c r="F112" s="10">
        <f>Takstblad!F117*Medlemsstatus!F23*Aktivitetsoversigt!F79</f>
        <v>0</v>
      </c>
      <c r="G112" s="10">
        <f>Takstblad!G117*Medlemsstatus!G23*Aktivitetsoversigt!G79</f>
        <v>0</v>
      </c>
      <c r="H112" s="10">
        <f>Takstblad!H117*Medlemsstatus!H23*Aktivitetsoversigt!H79</f>
        <v>0</v>
      </c>
      <c r="I112" s="10">
        <f>Takstblad!I117*Medlemsstatus!I23*Aktivitetsoversigt!I79</f>
        <v>0</v>
      </c>
      <c r="J112" s="10">
        <f>Takstblad!J117*Medlemsstatus!J23*Aktivitetsoversigt!J79</f>
        <v>0</v>
      </c>
      <c r="K112" s="10">
        <f>Takstblad!K117*Medlemsstatus!K23*Aktivitetsoversigt!K79</f>
        <v>0</v>
      </c>
      <c r="L112" s="10">
        <f>Takstblad!L117*Medlemsstatus!L23*Aktivitetsoversigt!L79</f>
        <v>0</v>
      </c>
      <c r="M112" s="10">
        <f>Takstblad!M117*Medlemsstatus!M23*Aktivitetsoversigt!M79</f>
        <v>0</v>
      </c>
      <c r="N112" s="10">
        <f>Takstblad!N117*Medlemsstatus!N23*Aktivitetsoversigt!N79</f>
        <v>0</v>
      </c>
    </row>
    <row r="113" spans="2:14" ht="12.7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1:14" ht="12.75">
      <c r="A114" t="s">
        <v>15</v>
      </c>
      <c r="B114" s="10"/>
      <c r="C114" s="10">
        <f>Takstblad!C119*Medlemsstatus!C31*Aktivitetsoversigt!C81</f>
        <v>0</v>
      </c>
      <c r="D114" s="10">
        <f>Takstblad!D119*Medlemsstatus!D31*Aktivitetsoversigt!D81</f>
        <v>0</v>
      </c>
      <c r="E114" s="10">
        <f>Takstblad!E119*Medlemsstatus!E31*Aktivitetsoversigt!E81</f>
        <v>0</v>
      </c>
      <c r="F114" s="10">
        <f>Takstblad!F119*Medlemsstatus!F31*Aktivitetsoversigt!F81</f>
        <v>0</v>
      </c>
      <c r="G114" s="10">
        <f>Takstblad!G119*Medlemsstatus!G31*Aktivitetsoversigt!G81</f>
        <v>0</v>
      </c>
      <c r="H114" s="10">
        <f>Takstblad!H119*Medlemsstatus!H31*Aktivitetsoversigt!H81</f>
        <v>0</v>
      </c>
      <c r="I114" s="10">
        <f>Takstblad!I119*Medlemsstatus!I31*Aktivitetsoversigt!I81</f>
        <v>0</v>
      </c>
      <c r="J114" s="10">
        <f>Takstblad!J119*Medlemsstatus!J31*Aktivitetsoversigt!J81</f>
        <v>0</v>
      </c>
      <c r="K114" s="10">
        <f>Takstblad!K119*Medlemsstatus!K31*Aktivitetsoversigt!K81</f>
        <v>0</v>
      </c>
      <c r="L114" s="10">
        <f>Takstblad!L119*Medlemsstatus!L31*Aktivitetsoversigt!L81</f>
        <v>0</v>
      </c>
      <c r="M114" s="10">
        <f>Takstblad!M119*Medlemsstatus!M31*Aktivitetsoversigt!M81</f>
        <v>0</v>
      </c>
      <c r="N114" s="10">
        <f>Takstblad!N119*Medlemsstatus!N31*Aktivitetsoversigt!N81</f>
        <v>0</v>
      </c>
    </row>
    <row r="115" spans="1:14" ht="13.5" thickBot="1">
      <c r="A115" s="5" t="s">
        <v>141</v>
      </c>
      <c r="B115" s="16">
        <f>SUM(B100:B114)</f>
        <v>0</v>
      </c>
      <c r="C115" s="16">
        <f>SUM(C100:C114)</f>
        <v>2700</v>
      </c>
      <c r="D115" s="16">
        <f aca="true" t="shared" si="4" ref="D115:N115">SUM(D100:D114)</f>
        <v>2781</v>
      </c>
      <c r="E115" s="16">
        <f t="shared" si="4"/>
        <v>2864.43</v>
      </c>
      <c r="F115" s="16">
        <f t="shared" si="4"/>
        <v>2950.3628999999996</v>
      </c>
      <c r="G115" s="16">
        <f t="shared" si="4"/>
        <v>3038.8737869999995</v>
      </c>
      <c r="H115" s="16">
        <f t="shared" si="4"/>
        <v>3130.0400006099994</v>
      </c>
      <c r="I115" s="16">
        <f t="shared" si="4"/>
        <v>3223.9412006282996</v>
      </c>
      <c r="J115" s="16">
        <f t="shared" si="4"/>
        <v>3320.6594366471486</v>
      </c>
      <c r="K115" s="16">
        <f t="shared" si="4"/>
        <v>3420.279219746563</v>
      </c>
      <c r="L115" s="16">
        <f t="shared" si="4"/>
        <v>3522.88759633896</v>
      </c>
      <c r="M115" s="16">
        <f t="shared" si="4"/>
        <v>3628.574224229129</v>
      </c>
      <c r="N115" s="16">
        <f t="shared" si="4"/>
        <v>3737.4314509560027</v>
      </c>
    </row>
    <row r="116" spans="1:14" ht="13.5" thickTop="1">
      <c r="A116" s="2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</row>
    <row r="117" spans="1:14" ht="13.5" thickBot="1">
      <c r="A117" s="5" t="s">
        <v>191</v>
      </c>
      <c r="B117" s="16">
        <v>84705</v>
      </c>
      <c r="C117" s="16">
        <f aca="true" t="shared" si="5" ref="C117:N117">C53+C74+C94+C115</f>
        <v>151740</v>
      </c>
      <c r="D117" s="16">
        <f t="shared" si="5"/>
        <v>156292.19999999998</v>
      </c>
      <c r="E117" s="16">
        <f t="shared" si="5"/>
        <v>160980.966</v>
      </c>
      <c r="F117" s="16">
        <f t="shared" si="5"/>
        <v>165810.39498</v>
      </c>
      <c r="G117" s="16">
        <f t="shared" si="5"/>
        <v>170784.7068294</v>
      </c>
      <c r="H117" s="16">
        <f t="shared" si="5"/>
        <v>175908.248034282</v>
      </c>
      <c r="I117" s="16">
        <f t="shared" si="5"/>
        <v>181185.49547531048</v>
      </c>
      <c r="J117" s="16">
        <f t="shared" si="5"/>
        <v>186621.06033956975</v>
      </c>
      <c r="K117" s="16">
        <f t="shared" si="5"/>
        <v>192219.69214975685</v>
      </c>
      <c r="L117" s="16">
        <f t="shared" si="5"/>
        <v>197986.28291424958</v>
      </c>
      <c r="M117" s="16">
        <f t="shared" si="5"/>
        <v>203925.87140167705</v>
      </c>
      <c r="N117" s="16">
        <f t="shared" si="5"/>
        <v>210043.6475437274</v>
      </c>
    </row>
    <row r="118" spans="2:14" ht="13.5" thickTop="1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 spans="1:14" ht="12.75">
      <c r="A119" t="s">
        <v>142</v>
      </c>
      <c r="B119" s="10">
        <v>11857</v>
      </c>
      <c r="C119" s="10">
        <f>Takstblad!C133+(Takstblad!C137*Medlemsstatus!C17)+(Medlemsstatus!C18*Takstblad!C137)+(Takstblad!C138*Medlemsstatus!C19)+(Medlemsstatus!C20*Takstblad!C139)+(Takstblad!C141*Aktivitetsoversigt!C83)</f>
        <v>4000</v>
      </c>
      <c r="D119" s="10">
        <f>Takstblad!D133+(Takstblad!D137*Medlemsstatus!D17)+(Medlemsstatus!D18*Takstblad!D137)+(Takstblad!D138*Medlemsstatus!D19)+(Medlemsstatus!D20*Takstblad!D139)+(Takstblad!D141*Aktivitetsoversigt!D83)</f>
        <v>4120</v>
      </c>
      <c r="E119" s="10">
        <f>Takstblad!E133+(Takstblad!E137*Medlemsstatus!E17)+(Medlemsstatus!E18*Takstblad!E137)+(Takstblad!E138*Medlemsstatus!E19)+(Medlemsstatus!E20*Takstblad!E139)+(Takstblad!E141*Aktivitetsoversigt!E83)</f>
        <v>4243.6</v>
      </c>
      <c r="F119" s="10">
        <f>Takstblad!F133+(Takstblad!F137*Medlemsstatus!F17)+(Medlemsstatus!F18*Takstblad!F137)+(Takstblad!F138*Medlemsstatus!F19)+(Medlemsstatus!F20*Takstblad!F139)+(Takstblad!F141*Aktivitetsoversigt!F83)</f>
        <v>4370.908</v>
      </c>
      <c r="G119" s="10">
        <f>Takstblad!G133+(Takstblad!G137*Medlemsstatus!G17)+(Medlemsstatus!G18*Takstblad!G137)+(Takstblad!G138*Medlemsstatus!G19)+(Medlemsstatus!G20*Takstblad!G139)+(Takstblad!G141*Aktivitetsoversigt!G83)</f>
        <v>4502.03524</v>
      </c>
      <c r="H119" s="10">
        <f>Takstblad!H133+(Takstblad!H137*Medlemsstatus!H17)+(Medlemsstatus!H18*Takstblad!H137)+(Takstblad!H138*Medlemsstatus!H19)+(Medlemsstatus!H20*Takstblad!H139)+(Takstblad!H141*Aktivitetsoversigt!H83)</f>
        <v>4637.0962972</v>
      </c>
      <c r="I119" s="10">
        <f>Takstblad!I133+(Takstblad!I137*Medlemsstatus!I17)+(Medlemsstatus!I18*Takstblad!I137)+(Takstblad!I138*Medlemsstatus!I19)+(Medlemsstatus!I20*Takstblad!I139)+(Takstblad!I141*Aktivitetsoversigt!I83)</f>
        <v>4776.209186116</v>
      </c>
      <c r="J119" s="10">
        <f>Takstblad!J133+(Takstblad!J137*Medlemsstatus!J17)+(Medlemsstatus!J18*Takstblad!J137)+(Takstblad!J138*Medlemsstatus!J19)+(Medlemsstatus!J20*Takstblad!J139)+(Takstblad!J141*Aktivitetsoversigt!J83)</f>
        <v>4919.49546169948</v>
      </c>
      <c r="K119" s="10">
        <f>Takstblad!K133+(Takstblad!K137*Medlemsstatus!K17)+(Medlemsstatus!K18*Takstblad!K137)+(Takstblad!K138*Medlemsstatus!K19)+(Medlemsstatus!K20*Takstblad!K139)+(Takstblad!K141*Aktivitetsoversigt!K83)</f>
        <v>5067.080325550464</v>
      </c>
      <c r="L119" s="10">
        <f>Takstblad!L133+(Takstblad!L137*Medlemsstatus!L17)+(Medlemsstatus!L18*Takstblad!L137)+(Takstblad!L138*Medlemsstatus!L19)+(Medlemsstatus!L20*Takstblad!L139)+(Takstblad!L141*Aktivitetsoversigt!L83)</f>
        <v>5219.092735316978</v>
      </c>
      <c r="M119" s="10">
        <f>Takstblad!M133+(Takstblad!M137*Medlemsstatus!M17)+(Medlemsstatus!M18*Takstblad!M137)+(Takstblad!M138*Medlemsstatus!M19)+(Medlemsstatus!M20*Takstblad!M139)+(Takstblad!M141*Aktivitetsoversigt!M83)</f>
        <v>5375.6655173764875</v>
      </c>
      <c r="N119" s="10">
        <f>Takstblad!N133+(Takstblad!N137*Medlemsstatus!N17)+(Medlemsstatus!N18*Takstblad!N137)+(Takstblad!N138*Medlemsstatus!N19)+(Medlemsstatus!N20*Takstblad!N139)+(Takstblad!N141*Aktivitetsoversigt!N83)</f>
        <v>5536.935482897781</v>
      </c>
    </row>
    <row r="120" spans="1:14" ht="12.75">
      <c r="A120" t="s">
        <v>143</v>
      </c>
      <c r="B120" s="10">
        <v>20000</v>
      </c>
      <c r="C120" s="10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</row>
    <row r="121" spans="1:14" ht="12.75">
      <c r="A121" t="s">
        <v>144</v>
      </c>
      <c r="B121" s="10">
        <v>5118</v>
      </c>
      <c r="C121" s="10">
        <v>5118</v>
      </c>
      <c r="D121" s="10">
        <v>5118</v>
      </c>
      <c r="E121" s="10">
        <v>5118</v>
      </c>
      <c r="F121" s="10">
        <v>5118</v>
      </c>
      <c r="G121" s="10">
        <v>5118</v>
      </c>
      <c r="H121" s="10">
        <v>5118</v>
      </c>
      <c r="I121" s="10">
        <v>5118</v>
      </c>
      <c r="J121" s="10">
        <v>5118</v>
      </c>
      <c r="K121" s="10">
        <v>5118</v>
      </c>
      <c r="L121" s="10">
        <v>5118</v>
      </c>
      <c r="M121" s="10">
        <v>5118</v>
      </c>
      <c r="N121" s="10">
        <v>5118</v>
      </c>
    </row>
    <row r="122" spans="1:14" ht="13.5" thickBot="1">
      <c r="A122" s="5" t="s">
        <v>145</v>
      </c>
      <c r="B122" s="16">
        <f>SUM(B119:B121)</f>
        <v>36975</v>
      </c>
      <c r="C122" s="16">
        <f aca="true" t="shared" si="6" ref="C122:N122">SUM(C119:C121)</f>
        <v>9118</v>
      </c>
      <c r="D122" s="16">
        <f t="shared" si="6"/>
        <v>9238</v>
      </c>
      <c r="E122" s="16">
        <f t="shared" si="6"/>
        <v>9361.6</v>
      </c>
      <c r="F122" s="16">
        <f t="shared" si="6"/>
        <v>9488.908</v>
      </c>
      <c r="G122" s="16">
        <f t="shared" si="6"/>
        <v>9620.035240000001</v>
      </c>
      <c r="H122" s="16">
        <f t="shared" si="6"/>
        <v>9755.0962972</v>
      </c>
      <c r="I122" s="16">
        <f t="shared" si="6"/>
        <v>9894.209186116</v>
      </c>
      <c r="J122" s="16">
        <f t="shared" si="6"/>
        <v>10037.49546169948</v>
      </c>
      <c r="K122" s="16">
        <f t="shared" si="6"/>
        <v>10185.080325550465</v>
      </c>
      <c r="L122" s="16">
        <f t="shared" si="6"/>
        <v>10337.092735316979</v>
      </c>
      <c r="M122" s="16">
        <f t="shared" si="6"/>
        <v>10493.665517376488</v>
      </c>
      <c r="N122" s="16">
        <f t="shared" si="6"/>
        <v>10654.935482897781</v>
      </c>
    </row>
    <row r="123" spans="2:14" ht="13.5" thickTop="1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1:14" ht="12.75">
      <c r="A124" t="s">
        <v>81</v>
      </c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 spans="1:14" ht="12.75">
      <c r="A125" t="s">
        <v>146</v>
      </c>
      <c r="B125" s="10">
        <v>3500</v>
      </c>
      <c r="C125" s="10">
        <f>Takstblad!C142*Medlemsstatus!C18*6</f>
        <v>1800</v>
      </c>
      <c r="D125" s="10">
        <f>Takstblad!D142*Medlemsstatus!D18*6</f>
        <v>1854</v>
      </c>
      <c r="E125" s="10">
        <f>Takstblad!E142*Medlemsstatus!E18*6</f>
        <v>1909.62</v>
      </c>
      <c r="F125" s="10">
        <f>Takstblad!F142*Medlemsstatus!F18*6</f>
        <v>1966.9085999999998</v>
      </c>
      <c r="G125" s="10">
        <f>Takstblad!G142*Medlemsstatus!G18*6</f>
        <v>2025.9158579999998</v>
      </c>
      <c r="H125" s="10">
        <f>Takstblad!H142*Medlemsstatus!H18*6</f>
        <v>2086.6933337399996</v>
      </c>
      <c r="I125" s="10">
        <f>Takstblad!I142*Medlemsstatus!I18*6</f>
        <v>2149.2941337521997</v>
      </c>
      <c r="J125" s="10">
        <f>Takstblad!J142*Medlemsstatus!J18*6</f>
        <v>2213.7729577647656</v>
      </c>
      <c r="K125" s="10">
        <f>Takstblad!K142*Medlemsstatus!K18*6</f>
        <v>2280.1861464977087</v>
      </c>
      <c r="L125" s="10">
        <f>Takstblad!L142*Medlemsstatus!L18*6</f>
        <v>2348.5917308926396</v>
      </c>
      <c r="M125" s="10">
        <f>Takstblad!M142*Medlemsstatus!M18*6</f>
        <v>2419.049482819419</v>
      </c>
      <c r="N125" s="10">
        <f>Takstblad!N142*Medlemsstatus!N18*6</f>
        <v>2491.6209673040016</v>
      </c>
    </row>
    <row r="126" spans="1:14" ht="12.75">
      <c r="A126" t="s">
        <v>147</v>
      </c>
      <c r="B126" s="10">
        <v>10000</v>
      </c>
      <c r="C126" s="10">
        <f>Takstblad!B146*20</f>
        <v>10000</v>
      </c>
      <c r="D126" s="10">
        <f>C126+C126*'Øko. nøgletal'!D5</f>
        <v>10300</v>
      </c>
      <c r="E126" s="10">
        <f>D126+D126*'Øko. nøgletal'!E5</f>
        <v>10609</v>
      </c>
      <c r="F126" s="10">
        <f>E126+E126*'Øko. nøgletal'!F5</f>
        <v>10927.27</v>
      </c>
      <c r="G126" s="10">
        <f>F126+F126*'Øko. nøgletal'!G5</f>
        <v>11255.0881</v>
      </c>
      <c r="H126" s="10">
        <f>G126+G126*'Øko. nøgletal'!H5</f>
        <v>11592.740743</v>
      </c>
      <c r="I126" s="10">
        <f>H126+H126*'Øko. nøgletal'!I5</f>
        <v>11940.52296529</v>
      </c>
      <c r="J126" s="10">
        <f>I126+I126*'Øko. nøgletal'!J5</f>
        <v>12298.7386542487</v>
      </c>
      <c r="K126" s="10">
        <f>J126+J126*'Øko. nøgletal'!K5</f>
        <v>12667.700813876161</v>
      </c>
      <c r="L126" s="10">
        <f>K126+K126*'Øko. nøgletal'!L5</f>
        <v>13047.731838292446</v>
      </c>
      <c r="M126" s="10">
        <f>L126+L126*'Øko. nøgletal'!M5</f>
        <v>13439.16379344122</v>
      </c>
      <c r="N126" s="10">
        <f>M126+M126*'Øko. nøgletal'!N5</f>
        <v>13439.16379344122</v>
      </c>
    </row>
    <row r="127" spans="1:14" ht="12.75">
      <c r="A127" t="s">
        <v>148</v>
      </c>
      <c r="B127" s="10">
        <v>11500</v>
      </c>
      <c r="C127" s="10">
        <f>Takstblad!B147*5.5</f>
        <v>11000</v>
      </c>
      <c r="D127" s="10">
        <f>C127+C127*'Øko. nøgletal'!D5</f>
        <v>11330</v>
      </c>
      <c r="E127" s="10">
        <f>D127+D127*'Øko. nøgletal'!E5</f>
        <v>11669.9</v>
      </c>
      <c r="F127" s="10">
        <f>E127+E127*'Øko. nøgletal'!F5</f>
        <v>12019.997</v>
      </c>
      <c r="G127" s="10">
        <f>F127+F127*'Øko. nøgletal'!G5</f>
        <v>12380.59691</v>
      </c>
      <c r="H127" s="10">
        <f>G127+G127*'Øko. nøgletal'!H5</f>
        <v>12752.0148173</v>
      </c>
      <c r="I127" s="10">
        <f>H127+H127*'Øko. nøgletal'!I5</f>
        <v>13134.575261819</v>
      </c>
      <c r="J127" s="10">
        <f>I127+I127*'Øko. nøgletal'!J5</f>
        <v>13528.61251967357</v>
      </c>
      <c r="K127" s="10">
        <f>J127+J127*'Øko. nøgletal'!K5</f>
        <v>13934.470895263777</v>
      </c>
      <c r="L127" s="10">
        <f>K127+K127*'Øko. nøgletal'!L5</f>
        <v>14352.505022121692</v>
      </c>
      <c r="M127" s="10">
        <f>L127+L127*'Øko. nøgletal'!M5</f>
        <v>14783.080172785343</v>
      </c>
      <c r="N127" s="10">
        <f>M127+M127*'Øko. nøgletal'!N5</f>
        <v>14783.080172785343</v>
      </c>
    </row>
    <row r="128" spans="1:14" ht="13.5" thickBot="1">
      <c r="A128" s="5" t="s">
        <v>149</v>
      </c>
      <c r="B128" s="16">
        <f>SUM(B125:B127)</f>
        <v>25000</v>
      </c>
      <c r="C128" s="16">
        <f aca="true" t="shared" si="7" ref="C128:N128">SUM(C125:C127)</f>
        <v>22800</v>
      </c>
      <c r="D128" s="16">
        <f t="shared" si="7"/>
        <v>23484</v>
      </c>
      <c r="E128" s="16">
        <f t="shared" si="7"/>
        <v>24188.519999999997</v>
      </c>
      <c r="F128" s="16">
        <f t="shared" si="7"/>
        <v>24914.1756</v>
      </c>
      <c r="G128" s="16">
        <f t="shared" si="7"/>
        <v>25661.600868</v>
      </c>
      <c r="H128" s="16">
        <f t="shared" si="7"/>
        <v>26431.448894039997</v>
      </c>
      <c r="I128" s="16">
        <f t="shared" si="7"/>
        <v>27224.392360861202</v>
      </c>
      <c r="J128" s="16">
        <f t="shared" si="7"/>
        <v>28041.124131687036</v>
      </c>
      <c r="K128" s="16">
        <f t="shared" si="7"/>
        <v>28882.357855637645</v>
      </c>
      <c r="L128" s="16">
        <f t="shared" si="7"/>
        <v>29748.828591306778</v>
      </c>
      <c r="M128" s="16">
        <f t="shared" si="7"/>
        <v>30641.29344904598</v>
      </c>
      <c r="N128" s="16">
        <f t="shared" si="7"/>
        <v>30713.864933530564</v>
      </c>
    </row>
    <row r="129" ht="14.25" thickBot="1" thickTop="1"/>
    <row r="130" spans="2:14" ht="13.5" thickBot="1">
      <c r="B130" s="6">
        <v>2008</v>
      </c>
      <c r="C130" s="7">
        <v>2009</v>
      </c>
      <c r="D130" s="7">
        <v>2010</v>
      </c>
      <c r="E130" s="7">
        <v>2011</v>
      </c>
      <c r="F130" s="7">
        <v>2012</v>
      </c>
      <c r="G130" s="7">
        <v>2013</v>
      </c>
      <c r="H130" s="7">
        <v>2014</v>
      </c>
      <c r="I130" s="7">
        <v>2015</v>
      </c>
      <c r="J130" s="7">
        <v>2016</v>
      </c>
      <c r="K130" s="7">
        <v>2017</v>
      </c>
      <c r="L130" s="7">
        <v>2018</v>
      </c>
      <c r="M130" s="7">
        <v>2019</v>
      </c>
      <c r="N130" s="8">
        <v>2020</v>
      </c>
    </row>
    <row r="132" ht="12.75">
      <c r="A132" t="s">
        <v>82</v>
      </c>
    </row>
    <row r="133" spans="1:14" ht="12.75">
      <c r="A133" t="s">
        <v>150</v>
      </c>
      <c r="B133" s="10">
        <v>71561</v>
      </c>
      <c r="C133" s="10">
        <v>74740</v>
      </c>
      <c r="D133" s="10">
        <f>Drift!C133+Drift!C133*'Øko. nøgletal'!C5</f>
        <v>76982.2</v>
      </c>
      <c r="E133" s="10">
        <f>Drift!D133+Drift!D133*'Øko. nøgletal'!D5</f>
        <v>79291.666</v>
      </c>
      <c r="F133" s="10">
        <f>Drift!E133+Drift!E133*'Øko. nøgletal'!E5</f>
        <v>81670.41597999999</v>
      </c>
      <c r="G133" s="10">
        <f>Drift!F133+Drift!F133*'Øko. nøgletal'!F5</f>
        <v>84120.5284594</v>
      </c>
      <c r="H133" s="10">
        <f>Drift!G133+Drift!G133*'Øko. nøgletal'!G5</f>
        <v>86644.144313182</v>
      </c>
      <c r="I133" s="10">
        <f>Drift!H133+Drift!H133*'Øko. nøgletal'!H5</f>
        <v>89243.46864257746</v>
      </c>
      <c r="J133" s="10">
        <f>Drift!I133+Drift!I133*'Øko. nøgletal'!I5</f>
        <v>91920.77270185477</v>
      </c>
      <c r="K133" s="10">
        <f>Drift!J133+Drift!J133*'Øko. nøgletal'!J5</f>
        <v>94678.39588291042</v>
      </c>
      <c r="L133" s="10">
        <f>Drift!K133+Drift!K133*'Øko. nøgletal'!K5</f>
        <v>97518.74775939774</v>
      </c>
      <c r="M133" s="10">
        <f>Drift!L133+Drift!L133*'Øko. nøgletal'!L5</f>
        <v>100444.31019217968</v>
      </c>
      <c r="N133" s="10">
        <f>Drift!M133+Drift!M133*'Øko. nøgletal'!M5</f>
        <v>103457.63949794507</v>
      </c>
    </row>
    <row r="134" spans="1:14" ht="12.75">
      <c r="A134" t="s">
        <v>151</v>
      </c>
      <c r="B134" s="10">
        <v>1748</v>
      </c>
      <c r="C134" s="10">
        <v>1500</v>
      </c>
      <c r="D134" s="10">
        <f>Drift!C134+Drift!C134*'Øko. nøgletal'!C5</f>
        <v>1545</v>
      </c>
      <c r="E134" s="10">
        <f>Drift!D134+Drift!D134*'Øko. nøgletal'!D5</f>
        <v>1591.35</v>
      </c>
      <c r="F134" s="10">
        <f>Drift!E134+Drift!E134*'Øko. nøgletal'!E5</f>
        <v>1639.0904999999998</v>
      </c>
      <c r="G134" s="10">
        <f>Drift!F134+Drift!F134*'Øko. nøgletal'!F5</f>
        <v>1688.2632149999997</v>
      </c>
      <c r="H134" s="10">
        <f>Drift!G134+Drift!G134*'Øko. nøgletal'!G5</f>
        <v>1738.9111114499997</v>
      </c>
      <c r="I134" s="10">
        <f>Drift!H134+Drift!H134*'Øko. nøgletal'!H5</f>
        <v>1791.0784447934998</v>
      </c>
      <c r="J134" s="10">
        <f>Drift!I134+Drift!I134*'Øko. nøgletal'!I5</f>
        <v>1844.8107981373048</v>
      </c>
      <c r="K134" s="10">
        <f>Drift!J134+Drift!J134*'Øko. nøgletal'!J5</f>
        <v>1900.155122081424</v>
      </c>
      <c r="L134" s="10">
        <f>Drift!K134+Drift!K134*'Øko. nøgletal'!K5</f>
        <v>1957.1597757438667</v>
      </c>
      <c r="M134" s="10">
        <f>Drift!L134+Drift!L134*'Øko. nøgletal'!L5</f>
        <v>2015.8745690161827</v>
      </c>
      <c r="N134" s="10">
        <f>Drift!M134+Drift!M134*'Øko. nøgletal'!M5</f>
        <v>2076.3508060866684</v>
      </c>
    </row>
    <row r="135" spans="1:14" ht="12.75">
      <c r="A135" t="s">
        <v>190</v>
      </c>
      <c r="B135" s="10">
        <v>3558</v>
      </c>
      <c r="C135" s="10">
        <v>0</v>
      </c>
      <c r="D135" s="10">
        <f>Drift!C135+Drift!C135*'Øko. nøgletal'!C5</f>
        <v>0</v>
      </c>
      <c r="E135" s="10">
        <f>Drift!D135+Drift!D135*'Øko. nøgletal'!D5</f>
        <v>0</v>
      </c>
      <c r="F135" s="10">
        <f>Drift!E135+Drift!E135*'Øko. nøgletal'!E5</f>
        <v>0</v>
      </c>
      <c r="G135" s="10">
        <f>Drift!F135+Drift!F135*'Øko. nøgletal'!F5</f>
        <v>0</v>
      </c>
      <c r="H135" s="10">
        <f>Drift!G135+Drift!G135*'Øko. nøgletal'!G5</f>
        <v>0</v>
      </c>
      <c r="I135" s="10">
        <f>Drift!H135+Drift!H135*'Øko. nøgletal'!H5</f>
        <v>0</v>
      </c>
      <c r="J135" s="10">
        <f>Drift!I135+Drift!I135*'Øko. nøgletal'!I5</f>
        <v>0</v>
      </c>
      <c r="K135" s="10">
        <f>Drift!J135+Drift!J135*'Øko. nøgletal'!J5</f>
        <v>0</v>
      </c>
      <c r="L135" s="10">
        <f>Drift!K135+Drift!K135*'Øko. nøgletal'!K5</f>
        <v>0</v>
      </c>
      <c r="M135" s="10">
        <f>Drift!L135+Drift!L135*'Øko. nøgletal'!L5</f>
        <v>0</v>
      </c>
      <c r="N135" s="10">
        <f>Drift!M135+Drift!M135*'Øko. nøgletal'!M5</f>
        <v>0</v>
      </c>
    </row>
    <row r="136" spans="1:14" ht="13.5" thickBot="1">
      <c r="A136" s="5" t="s">
        <v>152</v>
      </c>
      <c r="B136" s="16">
        <f>SUM(B133:B135)</f>
        <v>76867</v>
      </c>
      <c r="C136" s="16">
        <f aca="true" t="shared" si="8" ref="C136:N136">SUM(C133:C135)</f>
        <v>76240</v>
      </c>
      <c r="D136" s="16">
        <f t="shared" si="8"/>
        <v>78527.2</v>
      </c>
      <c r="E136" s="16">
        <f t="shared" si="8"/>
        <v>80883.016</v>
      </c>
      <c r="F136" s="16">
        <f t="shared" si="8"/>
        <v>83309.50648</v>
      </c>
      <c r="G136" s="16">
        <f t="shared" si="8"/>
        <v>85808.7916744</v>
      </c>
      <c r="H136" s="16">
        <f t="shared" si="8"/>
        <v>88383.055424632</v>
      </c>
      <c r="I136" s="16">
        <f t="shared" si="8"/>
        <v>91034.54708737096</v>
      </c>
      <c r="J136" s="16">
        <f t="shared" si="8"/>
        <v>93765.58349999208</v>
      </c>
      <c r="K136" s="16">
        <f t="shared" si="8"/>
        <v>96578.55100499185</v>
      </c>
      <c r="L136" s="16">
        <f t="shared" si="8"/>
        <v>99475.90753514161</v>
      </c>
      <c r="M136" s="16">
        <f t="shared" si="8"/>
        <v>102460.18476119587</v>
      </c>
      <c r="N136" s="16">
        <f t="shared" si="8"/>
        <v>105533.99030403174</v>
      </c>
    </row>
    <row r="137" spans="2:14" ht="14.25" thickBot="1" thickTop="1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 spans="1:14" ht="13.5" thickBot="1">
      <c r="A138" s="18" t="s">
        <v>154</v>
      </c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 spans="2:14" ht="12.75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</row>
    <row r="140" spans="1:14" ht="12.75">
      <c r="A140" t="s">
        <v>121</v>
      </c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</row>
    <row r="141" spans="1:14" ht="12.75">
      <c r="A141" t="s">
        <v>155</v>
      </c>
      <c r="B141" s="10">
        <v>3412</v>
      </c>
      <c r="C141" s="10">
        <f>B141+B141*'Øko. nøgletal'!B5</f>
        <v>3514.36</v>
      </c>
      <c r="D141" s="10">
        <f>C141+C141*'Øko. nøgletal'!C5</f>
        <v>3619.7908</v>
      </c>
      <c r="E141" s="10">
        <f>D141+D141*'Øko. nøgletal'!D5</f>
        <v>3728.384524</v>
      </c>
      <c r="F141" s="10">
        <f>E141+E141*'Øko. nøgletal'!E5</f>
        <v>3840.23605972</v>
      </c>
      <c r="G141" s="10">
        <f>F141+F141*'Øko. nøgletal'!F5</f>
        <v>3955.4431415116</v>
      </c>
      <c r="H141" s="10">
        <f>G141+G141*'Øko. nøgletal'!G5</f>
        <v>4074.106435756948</v>
      </c>
      <c r="I141" s="10">
        <f>H141+H141*'Øko. nøgletal'!H5</f>
        <v>4196.329628829656</v>
      </c>
      <c r="J141" s="10">
        <f>I141+I141*'Øko. nøgletal'!I5</f>
        <v>4322.219517694546</v>
      </c>
      <c r="K141" s="10">
        <f>J141+J141*'Øko. nøgletal'!J5</f>
        <v>4451.886103225383</v>
      </c>
      <c r="L141" s="10">
        <f>K141+K141*'Øko. nøgletal'!K5</f>
        <v>4585.442686322144</v>
      </c>
      <c r="M141" s="10">
        <f>L141+L141*'Øko. nøgletal'!L5</f>
        <v>4723.005966911808</v>
      </c>
      <c r="N141" s="10">
        <f>M141+M141*'Øko. nøgletal'!M5</f>
        <v>4864.6961459191625</v>
      </c>
    </row>
    <row r="142" spans="1:14" ht="12.75">
      <c r="A142" t="s">
        <v>156</v>
      </c>
      <c r="B142" s="10">
        <v>80570</v>
      </c>
      <c r="C142" s="10">
        <f>(20000+(20000*'Øko. nøgletal'!B5))+('Øko. nøgletal'!B24*Medlemsstatus!C5*Aktivitetsoversigt!C47/100)+(Aktivitetsoversigt!C48*Medlemsstatus!C6*'Øko. nøgletal'!B24/100)+('Øko. nøgletal'!B24*Medlemsstatus!C7*Aktivitetsoversigt!C49/100)+(Aktivitetsoversigt!C53*Medlemsstatus!C11*'Øko. nøgletal'!B24/100)+('Øko. nøgletal'!B24*Medlemsstatus!C12*Aktivitetsoversigt!C54/100)+(Aktivitetsoversigt!C55*Medlemsstatus!C13*'Øko. nøgletal'!B24/100)</f>
        <v>65294.7</v>
      </c>
      <c r="D142" s="10">
        <f>(20000+(20000*'Øko. nøgletal'!C5))+('Øko. nøgletal'!C24*Medlemsstatus!D5*Aktivitetsoversigt!D47/100)+(Aktivitetsoversigt!D48*Medlemsstatus!D6*'Øko. nøgletal'!C24/100)+('Øko. nøgletal'!C24*Medlemsstatus!D7*Aktivitetsoversigt!D49/100)+(Aktivitetsoversigt!D53*Medlemsstatus!D11*'Øko. nøgletal'!C24/100)+('Øko. nøgletal'!C24*Medlemsstatus!D12*Aktivitetsoversigt!D54/100)+(Aktivitetsoversigt!D55*Medlemsstatus!D13*'Øko. nøgletal'!C24/100)</f>
        <v>66635.541</v>
      </c>
      <c r="E142" s="10">
        <f>(20000+(20000*'Øko. nøgletal'!D5))+('Øko. nøgletal'!D24*Medlemsstatus!E5*Aktivitetsoversigt!E47/100)+(Aktivitetsoversigt!E48*Medlemsstatus!E6*'Øko. nøgletal'!D24/100)+('Øko. nøgletal'!D24*Medlemsstatus!E7*Aktivitetsoversigt!E49/100)+(Aktivitetsoversigt!E53*Medlemsstatus!E11*'Øko. nøgletal'!D24/100)+('Øko. nøgletal'!D24*Medlemsstatus!E12*Aktivitetsoversigt!E54/100)+(Aktivitetsoversigt!E55*Medlemsstatus!E13*'Øko. nøgletal'!D24/100)</f>
        <v>68016.60723000001</v>
      </c>
      <c r="F142" s="10">
        <f>(20000+(20000*'Øko. nøgletal'!E5))+('Øko. nøgletal'!E24*Medlemsstatus!F5*Aktivitetsoversigt!F47/100)+(Aktivitetsoversigt!F48*Medlemsstatus!F6*'Øko. nøgletal'!E24/100)+('Øko. nøgletal'!E24*Medlemsstatus!F7*Aktivitetsoversigt!F49/100)+(Aktivitetsoversigt!F53*Medlemsstatus!F11*'Øko. nøgletal'!E24/100)+('Øko. nøgletal'!E24*Medlemsstatus!F12*Aktivitetsoversigt!F54/100)+(Aktivitetsoversigt!F55*Medlemsstatus!F13*'Øko. nøgletal'!E24/100)</f>
        <v>69439.1054469</v>
      </c>
      <c r="G142" s="10">
        <f>(20000+(20000*'Øko. nøgletal'!F5))+('Øko. nøgletal'!F24*Medlemsstatus!G5*Aktivitetsoversigt!G47/100)+(Aktivitetsoversigt!G48*Medlemsstatus!G6*'Øko. nøgletal'!F24/100)+('Øko. nøgletal'!F24*Medlemsstatus!G7*Aktivitetsoversigt!G49/100)+(Aktivitetsoversigt!G53*Medlemsstatus!G11*'Øko. nøgletal'!F24/100)+('Øko. nøgletal'!F24*Medlemsstatus!G12*Aktivitetsoversigt!G54/100)+(Aktivitetsoversigt!G55*Medlemsstatus!G13*'Øko. nøgletal'!F24/100)</f>
        <v>70904.278610307</v>
      </c>
      <c r="H142" s="10">
        <f>(20000+(20000*'Øko. nøgletal'!G5))+('Øko. nøgletal'!G24*Medlemsstatus!H5*Aktivitetsoversigt!H47/100)+(Aktivitetsoversigt!H48*Medlemsstatus!H6*'Øko. nøgletal'!G24/100)+('Øko. nøgletal'!G24*Medlemsstatus!H7*Aktivitetsoversigt!H49/100)+(Aktivitetsoversigt!H53*Medlemsstatus!H11*'Øko. nøgletal'!G24/100)+('Øko. nøgletal'!G24*Medlemsstatus!H12*Aktivitetsoversigt!H54/100)+(Aktivitetsoversigt!H55*Medlemsstatus!H13*'Øko. nøgletal'!G24/100)</f>
        <v>72413.40696861621</v>
      </c>
      <c r="I142" s="10">
        <f>(20000+(20000*'Øko. nøgletal'!H5))+('Øko. nøgletal'!H24*Medlemsstatus!I5*Aktivitetsoversigt!I47/100)+(Aktivitetsoversigt!I48*Medlemsstatus!I6*'Øko. nøgletal'!H24/100)+('Øko. nøgletal'!H24*Medlemsstatus!I7*Aktivitetsoversigt!I49/100)+(Aktivitetsoversigt!I53*Medlemsstatus!I11*'Øko. nøgletal'!H24/100)+('Øko. nøgletal'!H24*Medlemsstatus!I12*Aktivitetsoversigt!I54/100)+(Aktivitetsoversigt!I55*Medlemsstatus!I13*'Øko. nøgletal'!H24/100)</f>
        <v>73967.8091776747</v>
      </c>
      <c r="J142" s="10">
        <f>(20000+(20000*'Øko. nøgletal'!I5))+('Øko. nøgletal'!I24*Medlemsstatus!J5*Aktivitetsoversigt!J47/100)+(Aktivitetsoversigt!J48*Medlemsstatus!J6*'Øko. nøgletal'!I24/100)+('Øko. nøgletal'!I24*Medlemsstatus!J7*Aktivitetsoversigt!J49/100)+(Aktivitetsoversigt!J53*Medlemsstatus!J11*'Øko. nøgletal'!I24/100)+('Øko. nøgletal'!I24*Medlemsstatus!J12*Aktivitetsoversigt!J54/100)+(Aktivitetsoversigt!J55*Medlemsstatus!J13*'Øko. nøgletal'!I24/100)</f>
        <v>75568.84345300494</v>
      </c>
      <c r="K142" s="10">
        <f>(20000+(20000*'Øko. nøgletal'!J5))+('Øko. nøgletal'!J24*Medlemsstatus!K5*Aktivitetsoversigt!K47/100)+(Aktivitetsoversigt!K48*Medlemsstatus!K6*'Øko. nøgletal'!J24/100)+('Øko. nøgletal'!J24*Medlemsstatus!K7*Aktivitetsoversigt!K49/100)+(Aktivitetsoversigt!K53*Medlemsstatus!K11*'Øko. nøgletal'!J24/100)+('Øko. nøgletal'!J24*Medlemsstatus!K12*Aktivitetsoversigt!K54/100)+(Aktivitetsoversigt!K55*Medlemsstatus!K13*'Øko. nøgletal'!J24/100)</f>
        <v>77217.90875659509</v>
      </c>
      <c r="L142" s="10">
        <f>(20000+(20000*'Øko. nøgletal'!K5))+('Øko. nøgletal'!K24*Medlemsstatus!L5*Aktivitetsoversigt!L47/100)+(Aktivitetsoversigt!L48*Medlemsstatus!L6*'Øko. nøgletal'!K24/100)+('Øko. nøgletal'!K24*Medlemsstatus!L7*Aktivitetsoversigt!L49/100)+(Aktivitetsoversigt!L53*Medlemsstatus!L11*'Øko. nøgletal'!K24/100)+('Øko. nøgletal'!K24*Medlemsstatus!L12*Aktivitetsoversigt!L54/100)+(Aktivitetsoversigt!L55*Medlemsstatus!L13*'Øko. nøgletal'!K24/100)</f>
        <v>78916.44601929294</v>
      </c>
      <c r="M142" s="10">
        <f>(20000+(20000*'Øko. nøgletal'!L5))+('Øko. nøgletal'!L24*Medlemsstatus!M5*Aktivitetsoversigt!M47/100)+(Aktivitetsoversigt!M48*Medlemsstatus!M6*'Øko. nøgletal'!L24/100)+('Øko. nøgletal'!L24*Medlemsstatus!M7*Aktivitetsoversigt!M49/100)+(Aktivitetsoversigt!M53*Medlemsstatus!M11*'Øko. nøgletal'!L24/100)+('Øko. nøgletal'!L24*Medlemsstatus!M12*Aktivitetsoversigt!M54/100)+(Aktivitetsoversigt!M55*Medlemsstatus!M13*'Øko. nøgletal'!L24/100)</f>
        <v>80665.93939987174</v>
      </c>
      <c r="N142" s="10">
        <f>(20000+(20000*'Øko. nøgletal'!M5))+('Øko. nøgletal'!M24*Medlemsstatus!N5*Aktivitetsoversigt!N47/100)+(Aktivitetsoversigt!N48*Medlemsstatus!N6*'Øko. nøgletal'!M24/100)+('Øko. nøgletal'!M24*Medlemsstatus!N7*Aktivitetsoversigt!N49/100)+(Aktivitetsoversigt!N53*Medlemsstatus!N11*'Øko. nøgletal'!M24/100)+('Øko. nøgletal'!M24*Medlemsstatus!N12*Aktivitetsoversigt!N54/100)+(Aktivitetsoversigt!N55*Medlemsstatus!N13*'Øko. nøgletal'!M24/100)</f>
        <v>82467.91758186789</v>
      </c>
    </row>
    <row r="143" spans="1:14" ht="12.75">
      <c r="A143" t="s">
        <v>157</v>
      </c>
      <c r="B143" s="10">
        <v>3428</v>
      </c>
      <c r="C143" s="10">
        <f>B143+B143*'Øko. nøgletal'!B5</f>
        <v>3530.84</v>
      </c>
      <c r="D143" s="10"/>
      <c r="E143" s="10">
        <f>D143+D143*'Øko. nøgletal'!D5</f>
        <v>0</v>
      </c>
      <c r="F143" s="10">
        <f>E143+E143*'Øko. nøgletal'!E5</f>
        <v>0</v>
      </c>
      <c r="G143" s="10">
        <f>F143+F143*'Øko. nøgletal'!F5</f>
        <v>0</v>
      </c>
      <c r="H143" s="10">
        <f>G143+G143*'Øko. nøgletal'!G5</f>
        <v>0</v>
      </c>
      <c r="I143" s="10">
        <f>H143+H143*'Øko. nøgletal'!H5</f>
        <v>0</v>
      </c>
      <c r="J143" s="10">
        <f>I143+I143*'Øko. nøgletal'!I5</f>
        <v>0</v>
      </c>
      <c r="K143" s="10">
        <f>J143+J143*'Øko. nøgletal'!J5</f>
        <v>0</v>
      </c>
      <c r="L143" s="10">
        <f>K143+K143*'Øko. nøgletal'!K5</f>
        <v>0</v>
      </c>
      <c r="M143" s="10">
        <f>L143+L143*'Øko. nøgletal'!L5</f>
        <v>0</v>
      </c>
      <c r="N143" s="10">
        <f>M143+M143*'Øko. nøgletal'!M5</f>
        <v>0</v>
      </c>
    </row>
    <row r="144" spans="1:14" ht="12.75">
      <c r="A144" t="s">
        <v>158</v>
      </c>
      <c r="B144" s="10">
        <v>846</v>
      </c>
      <c r="C144" s="10">
        <f>(500+(500*'Øko. nøgletal'!B5))+('Øko. nøgletal'!B26*Medlemsstatus!C5*Aktivitetsoversigt!C67/100)+(Aktivitetsoversigt!C68*Medlemsstatus!C6*'Øko. nøgletal'!B26/100)+('Øko. nøgletal'!B26*Medlemsstatus!C7*Aktivitetsoversigt!C69/100)+(Aktivitetsoversigt!C73*Medlemsstatus!C11*'Øko. nøgletal'!B26/100)+('Øko. nøgletal'!B26*Medlemsstatus!C18*Aktivitetsoversigt!C74/100)+(Aktivitetsoversigt!C75*Medlemsstatus!C13*'Øko. nøgletal'!B26/100)</f>
        <v>1521.25</v>
      </c>
      <c r="D144" s="10">
        <f>(500+(500*'Øko. nøgletal'!C5))+('Øko. nøgletal'!C26*Medlemsstatus!D5*Aktivitetsoversigt!D67/100)+(Aktivitetsoversigt!D68*Medlemsstatus!D6*'Øko. nøgletal'!C26/100)+('Øko. nøgletal'!C26*Medlemsstatus!D7*Aktivitetsoversigt!D69/100)+(Aktivitetsoversigt!D73*Medlemsstatus!D11*'Øko. nøgletal'!C26/100)+('Øko. nøgletal'!C26*Medlemsstatus!D18*Aktivitetsoversigt!D74/100)+(Aktivitetsoversigt!D75*Medlemsstatus!D13*'Øko. nøgletal'!C26/100)</f>
        <v>1551.4375</v>
      </c>
      <c r="E144" s="10">
        <f>(500+(500*'Øko. nøgletal'!D5))+('Øko. nøgletal'!D26*Medlemsstatus!E5*Aktivitetsoversigt!E67/100)+(Aktivitetsoversigt!E68*Medlemsstatus!E6*'Øko. nøgletal'!D26/100)+('Øko. nøgletal'!D26*Medlemsstatus!E7*Aktivitetsoversigt!E69/100)+(Aktivitetsoversigt!E73*Medlemsstatus!E11*'Øko. nøgletal'!D26/100)+('Øko. nøgletal'!D26*Medlemsstatus!E18*Aktivitetsoversigt!E74/100)+(Aktivitetsoversigt!E75*Medlemsstatus!E13*'Øko. nøgletal'!D26/100)</f>
        <v>1582.5306249999999</v>
      </c>
      <c r="F144" s="10">
        <f>(500+(500*'Øko. nøgletal'!E5))+('Øko. nøgletal'!E26*Medlemsstatus!F5*Aktivitetsoversigt!F67/100)+(Aktivitetsoversigt!F68*Medlemsstatus!F6*'Øko. nøgletal'!E26/100)+('Øko. nøgletal'!E26*Medlemsstatus!F7*Aktivitetsoversigt!F69/100)+(Aktivitetsoversigt!F73*Medlemsstatus!F11*'Øko. nøgletal'!E26/100)+('Øko. nøgletal'!E26*Medlemsstatus!F18*Aktivitetsoversigt!F74/100)+(Aktivitetsoversigt!F75*Medlemsstatus!F13*'Øko. nøgletal'!E26/100)</f>
        <v>1614.5565437500004</v>
      </c>
      <c r="G144" s="10">
        <f>(500+(500*'Øko. nøgletal'!F5))+('Øko. nøgletal'!F26*Medlemsstatus!G5*Aktivitetsoversigt!G67/100)+(Aktivitetsoversigt!G68*Medlemsstatus!G6*'Øko. nøgletal'!F26/100)+('Øko. nøgletal'!F26*Medlemsstatus!G7*Aktivitetsoversigt!G69/100)+(Aktivitetsoversigt!G73*Medlemsstatus!G11*'Øko. nøgletal'!F26/100)+('Øko. nøgletal'!F26*Medlemsstatus!G18*Aktivitetsoversigt!G74/100)+(Aktivitetsoversigt!G75*Medlemsstatus!G13*'Øko. nøgletal'!F26/100)</f>
        <v>1647.5432400624998</v>
      </c>
      <c r="H144" s="10">
        <f>(500+(500*'Øko. nøgletal'!G5))+('Øko. nøgletal'!G26*Medlemsstatus!H5*Aktivitetsoversigt!H67/100)+(Aktivitetsoversigt!H68*Medlemsstatus!H6*'Øko. nøgletal'!G26/100)+('Øko. nøgletal'!G26*Medlemsstatus!H7*Aktivitetsoversigt!H69/100)+(Aktivitetsoversigt!H73*Medlemsstatus!H11*'Øko. nøgletal'!G26/100)+('Øko. nøgletal'!G26*Medlemsstatus!H18*Aktivitetsoversigt!H74/100)+(Aktivitetsoversigt!H75*Medlemsstatus!H13*'Øko. nøgletal'!G26/100)</f>
        <v>1681.519537264375</v>
      </c>
      <c r="I144" s="10">
        <f>(500+(500*'Øko. nøgletal'!H5))+('Øko. nøgletal'!H26*Medlemsstatus!I5*Aktivitetsoversigt!I67/100)+(Aktivitetsoversigt!I68*Medlemsstatus!I6*'Øko. nøgletal'!H26/100)+('Øko. nøgletal'!H26*Medlemsstatus!I7*Aktivitetsoversigt!I69/100)+(Aktivitetsoversigt!I73*Medlemsstatus!I11*'Øko. nøgletal'!H26/100)+('Øko. nøgletal'!H26*Medlemsstatus!I18*Aktivitetsoversigt!I74/100)+(Aktivitetsoversigt!I75*Medlemsstatus!I13*'Øko. nøgletal'!H26/100)</f>
        <v>1716.5151233823062</v>
      </c>
      <c r="J144" s="10">
        <f>(500+(500*'Øko. nøgletal'!I5))+('Øko. nøgletal'!I26*Medlemsstatus!J5*Aktivitetsoversigt!J67/100)+(Aktivitetsoversigt!J68*Medlemsstatus!J6*'Øko. nøgletal'!I26/100)+('Øko. nøgletal'!I26*Medlemsstatus!J7*Aktivitetsoversigt!J69/100)+(Aktivitetsoversigt!J73*Medlemsstatus!J11*'Øko. nøgletal'!I26/100)+('Øko. nøgletal'!I26*Medlemsstatus!J18*Aktivitetsoversigt!J74/100)+(Aktivitetsoversigt!J75*Medlemsstatus!J13*'Øko. nøgletal'!I26/100)</f>
        <v>1752.5605770837756</v>
      </c>
      <c r="K144" s="10">
        <f>(500+(500*'Øko. nøgletal'!J5))+('Øko. nøgletal'!J26*Medlemsstatus!K5*Aktivitetsoversigt!K67/100)+(Aktivitetsoversigt!K68*Medlemsstatus!K6*'Øko. nøgletal'!J26/100)+('Øko. nøgletal'!J26*Medlemsstatus!K7*Aktivitetsoversigt!K69/100)+(Aktivitetsoversigt!K73*Medlemsstatus!K11*'Øko. nøgletal'!J26/100)+('Øko. nøgletal'!J26*Medlemsstatus!K18*Aktivitetsoversigt!K74/100)+(Aktivitetsoversigt!K75*Medlemsstatus!K13*'Øko. nøgletal'!J26/100)</f>
        <v>1789.687394396289</v>
      </c>
      <c r="L144" s="10">
        <f>(500+(500*'Øko. nøgletal'!K5))+('Øko. nøgletal'!K26*Medlemsstatus!L5*Aktivitetsoversigt!L67/100)+(Aktivitetsoversigt!L68*Medlemsstatus!L6*'Øko. nøgletal'!K26/100)+('Øko. nøgletal'!K26*Medlemsstatus!L7*Aktivitetsoversigt!L69/100)+(Aktivitetsoversigt!L73*Medlemsstatus!L11*'Øko. nøgletal'!K26/100)+('Øko. nøgletal'!K26*Medlemsstatus!L18*Aktivitetsoversigt!L74/100)+(Aktivitetsoversigt!L75*Medlemsstatus!L13*'Øko. nøgletal'!K26/100)</f>
        <v>1827.9280162281775</v>
      </c>
      <c r="M144" s="10">
        <f>(500+(500*'Øko. nøgletal'!L5))+('Øko. nøgletal'!L26*Medlemsstatus!M5*Aktivitetsoversigt!M67/100)+(Aktivitetsoversigt!M68*Medlemsstatus!M6*'Øko. nøgletal'!L26/100)+('Øko. nøgletal'!L26*Medlemsstatus!M7*Aktivitetsoversigt!M69/100)+(Aktivitetsoversigt!M73*Medlemsstatus!M11*'Øko. nøgletal'!L26/100)+('Øko. nøgletal'!L26*Medlemsstatus!M18*Aktivitetsoversigt!M74/100)+(Aktivitetsoversigt!M75*Medlemsstatus!M13*'Øko. nøgletal'!L26/100)</f>
        <v>1867.3158567150226</v>
      </c>
      <c r="N144" s="10">
        <f>(500+(500*'Øko. nøgletal'!M5))+('Øko. nøgletal'!M26*Medlemsstatus!N5*Aktivitetsoversigt!N67/100)+(Aktivitetsoversigt!N68*Medlemsstatus!N6*'Øko. nøgletal'!M26/100)+('Øko. nøgletal'!M26*Medlemsstatus!N7*Aktivitetsoversigt!N69/100)+(Aktivitetsoversigt!N73*Medlemsstatus!N11*'Øko. nøgletal'!M26/100)+('Øko. nøgletal'!M26*Medlemsstatus!N18*Aktivitetsoversigt!N74/100)+(Aktivitetsoversigt!N75*Medlemsstatus!N13*'Øko. nøgletal'!M26/100)</f>
        <v>1907.8853324164731</v>
      </c>
    </row>
    <row r="145" spans="1:14" ht="12.75">
      <c r="A145" t="s">
        <v>230</v>
      </c>
      <c r="B145" s="10"/>
      <c r="C145" s="10">
        <f>'Øko. nøgletal'!B27/60*Aktivitetsoversigt!C67*Medlemsstatus!C5+('Øko. nøgletal'!B27/60*Aktivitetsoversigt!C68*Medlemsstatus!C6)+(Medlemsstatus!C7*'Øko. nøgletal'!B27/60*Aktivitetsoversigt!C69)+(Aktivitetsoversigt!C73*'Øko. nøgletal'!B27/60*Medlemsstatus!C11)+(Medlemsstatus!C12*'Øko. nøgletal'!B27/60*Aktivitetsoversigt!C74)+(Aktivitetsoversigt!C55*'Øko. nøgletal'!B27/60*Medlemsstatus!C13)</f>
        <v>2000</v>
      </c>
      <c r="D145" s="10">
        <f>'Øko. nøgletal'!C27/60*Aktivitetsoversigt!D67*Medlemsstatus!D5+('Øko. nøgletal'!C27/60*Aktivitetsoversigt!D68*Medlemsstatus!D6)+(Medlemsstatus!D7*'Øko. nøgletal'!C27/60*Aktivitetsoversigt!D69)+(Aktivitetsoversigt!D73*'Øko. nøgletal'!C27/60*Medlemsstatus!D11)+(Medlemsstatus!D12*'Øko. nøgletal'!C27/60*Aktivitetsoversigt!D74)+(Aktivitetsoversigt!D55*'Øko. nøgletal'!C27/60*Medlemsstatus!D13)</f>
        <v>2060</v>
      </c>
      <c r="E145" s="10">
        <f>'Øko. nøgletal'!D27/60*Aktivitetsoversigt!E67*Medlemsstatus!E5+('Øko. nøgletal'!D27/60*Aktivitetsoversigt!E68*Medlemsstatus!E6)+(Medlemsstatus!E7*'Øko. nøgletal'!D27/60*Aktivitetsoversigt!E69)+(Aktivitetsoversigt!E73*'Øko. nøgletal'!D27/60*Medlemsstatus!E11)+(Medlemsstatus!E12*'Øko. nøgletal'!D27/60*Aktivitetsoversigt!E74)+(Aktivitetsoversigt!E55*'Øko. nøgletal'!D27/60*Medlemsstatus!E13)</f>
        <v>2121.8</v>
      </c>
      <c r="F145" s="10">
        <f>'Øko. nøgletal'!E27/60*Aktivitetsoversigt!F67*Medlemsstatus!F5+('Øko. nøgletal'!E27/60*Aktivitetsoversigt!F68*Medlemsstatus!F6)+(Medlemsstatus!F7*'Øko. nøgletal'!E27/60*Aktivitetsoversigt!F69)+(Aktivitetsoversigt!F73*'Øko. nøgletal'!E27/60*Medlemsstatus!F11)+(Medlemsstatus!F12*'Øko. nøgletal'!E27/60*Aktivitetsoversigt!F74)+(Aktivitetsoversigt!F55*'Øko. nøgletal'!E27/60*Medlemsstatus!F13)</f>
        <v>2185.4539999999997</v>
      </c>
      <c r="G145" s="10">
        <f>'Øko. nøgletal'!F27/60*Aktivitetsoversigt!G67*Medlemsstatus!G5+('Øko. nøgletal'!F27/60*Aktivitetsoversigt!G68*Medlemsstatus!G6)+(Medlemsstatus!G7*'Øko. nøgletal'!F27/60*Aktivitetsoversigt!G69)+(Aktivitetsoversigt!G73*'Øko. nøgletal'!F27/60*Medlemsstatus!G11)+(Medlemsstatus!G12*'Øko. nøgletal'!F27/60*Aktivitetsoversigt!G74)+(Aktivitetsoversigt!G55*'Øko. nøgletal'!F27/60*Medlemsstatus!G13)</f>
        <v>2251.0176199999996</v>
      </c>
      <c r="H145" s="10">
        <f>'Øko. nøgletal'!G27/60*Aktivitetsoversigt!H67*Medlemsstatus!H5+('Øko. nøgletal'!G27/60*Aktivitetsoversigt!H68*Medlemsstatus!H6)+(Medlemsstatus!H7*'Øko. nøgletal'!G27/60*Aktivitetsoversigt!H69)+(Aktivitetsoversigt!H73*'Øko. nøgletal'!G27/60*Medlemsstatus!H11)+(Medlemsstatus!H12*'Øko. nøgletal'!G27/60*Aktivitetsoversigt!H74)+(Aktivitetsoversigt!H55*'Øko. nøgletal'!G27/60*Medlemsstatus!H13)</f>
        <v>2318.5481486</v>
      </c>
      <c r="I145" s="10">
        <f>'Øko. nøgletal'!H27/60*Aktivitetsoversigt!I67*Medlemsstatus!I5+('Øko. nøgletal'!H27/60*Aktivitetsoversigt!I68*Medlemsstatus!I6)+(Medlemsstatus!I7*'Øko. nøgletal'!H27/60*Aktivitetsoversigt!I69)+(Aktivitetsoversigt!I73*'Øko. nøgletal'!H27/60*Medlemsstatus!I11)+(Medlemsstatus!I12*'Øko. nøgletal'!H27/60*Aktivitetsoversigt!I74)+(Aktivitetsoversigt!I55*'Øko. nøgletal'!H27/60*Medlemsstatus!I13)</f>
        <v>2388.104593058</v>
      </c>
      <c r="J145" s="10">
        <f>'Øko. nøgletal'!I27/60*Aktivitetsoversigt!J67*Medlemsstatus!J5+('Øko. nøgletal'!I27/60*Aktivitetsoversigt!J68*Medlemsstatus!J6)+(Medlemsstatus!J7*'Øko. nøgletal'!I27/60*Aktivitetsoversigt!J69)+(Aktivitetsoversigt!J73*'Øko. nøgletal'!I27/60*Medlemsstatus!J11)+(Medlemsstatus!J12*'Øko. nøgletal'!I27/60*Aktivitetsoversigt!J74)+(Aktivitetsoversigt!J55*'Øko. nøgletal'!I27/60*Medlemsstatus!J13)</f>
        <v>2459.747730849739</v>
      </c>
      <c r="K145" s="10">
        <f>'Øko. nøgletal'!J27/60*Aktivitetsoversigt!K67*Medlemsstatus!K5+('Øko. nøgletal'!J27/60*Aktivitetsoversigt!K68*Medlemsstatus!K6)+(Medlemsstatus!K7*'Øko. nøgletal'!J27/60*Aktivitetsoversigt!K69)+(Aktivitetsoversigt!K73*'Øko. nøgletal'!J27/60*Medlemsstatus!K11)+(Medlemsstatus!K12*'Øko. nøgletal'!J27/60*Aktivitetsoversigt!K74)+(Aktivitetsoversigt!K55*'Øko. nøgletal'!J27/60*Medlemsstatus!K13)</f>
        <v>2533.5401627752317</v>
      </c>
      <c r="L145" s="10">
        <f>'Øko. nøgletal'!K27/60*Aktivitetsoversigt!L67*Medlemsstatus!L5+('Øko. nøgletal'!K27/60*Aktivitetsoversigt!L68*Medlemsstatus!L6)+(Medlemsstatus!L7*'Øko. nøgletal'!K27/60*Aktivitetsoversigt!L69)+(Aktivitetsoversigt!L73*'Øko. nøgletal'!K27/60*Medlemsstatus!L11)+(Medlemsstatus!L12*'Øko. nøgletal'!K27/60*Aktivitetsoversigt!L74)+(Aktivitetsoversigt!L55*'Øko. nøgletal'!K27/60*Medlemsstatus!L13)</f>
        <v>2609.5463676584886</v>
      </c>
      <c r="M145" s="10">
        <f>'Øko. nøgletal'!L27/60*Aktivitetsoversigt!M67*Medlemsstatus!M5+('Øko. nøgletal'!L27/60*Aktivitetsoversigt!M68*Medlemsstatus!M6)+(Medlemsstatus!M7*'Øko. nøgletal'!L27/60*Aktivitetsoversigt!M69)+(Aktivitetsoversigt!M73*'Øko. nøgletal'!L27/60*Medlemsstatus!M11)+(Medlemsstatus!M12*'Øko. nøgletal'!L27/60*Aktivitetsoversigt!M74)+(Aktivitetsoversigt!M55*'Øko. nøgletal'!L27/60*Medlemsstatus!M13)</f>
        <v>2687.8327586882433</v>
      </c>
      <c r="N145" s="10">
        <f>'Øko. nøgletal'!M27/60*Aktivitetsoversigt!N67*Medlemsstatus!N5+('Øko. nøgletal'!M27/60*Aktivitetsoversigt!N68*Medlemsstatus!N6)+(Medlemsstatus!N7*'Øko. nøgletal'!M27/60*Aktivitetsoversigt!N69)+(Aktivitetsoversigt!N73*'Øko. nøgletal'!M27/60*Medlemsstatus!N11)+(Medlemsstatus!N12*'Øko. nøgletal'!M27/60*Aktivitetsoversigt!N74)+(Aktivitetsoversigt!N55*'Øko. nøgletal'!M27/60*Medlemsstatus!N13)</f>
        <v>2768.4677414488906</v>
      </c>
    </row>
    <row r="146" spans="1:14" ht="12.75">
      <c r="A146" t="s">
        <v>280</v>
      </c>
      <c r="B146" s="10">
        <v>8050</v>
      </c>
      <c r="C146" s="10">
        <v>58200</v>
      </c>
      <c r="D146" s="10">
        <f>C146+C146*'Øko. nøgletal'!C5</f>
        <v>59946</v>
      </c>
      <c r="E146" s="10">
        <f>D146+D146*'Øko. nøgletal'!D5</f>
        <v>61744.38</v>
      </c>
      <c r="F146" s="10">
        <f>E146+E146*'Øko. nøgletal'!E5</f>
        <v>63596.7114</v>
      </c>
      <c r="G146" s="10">
        <f>F146+F146*'Øko. nøgletal'!F5</f>
        <v>65504.612742</v>
      </c>
      <c r="H146" s="10">
        <f>G146+G146*'Øko. nøgletal'!G5</f>
        <v>67469.75112426</v>
      </c>
      <c r="I146" s="10">
        <f>H146+H146*'Øko. nøgletal'!H5</f>
        <v>69493.8436579878</v>
      </c>
      <c r="J146" s="10">
        <f>I146+I146*'Øko. nøgletal'!I5</f>
        <v>71578.65896772743</v>
      </c>
      <c r="K146" s="10">
        <f>J146+J146*'Øko. nøgletal'!J5</f>
        <v>73726.01873675926</v>
      </c>
      <c r="L146" s="10">
        <f>K146+K146*'Øko. nøgletal'!K5</f>
        <v>75937.79929886204</v>
      </c>
      <c r="M146" s="10">
        <f>L146+L146*'Øko. nøgletal'!L5</f>
        <v>78215.9332778279</v>
      </c>
      <c r="N146" s="10">
        <f>M146+M146*'Øko. nøgletal'!M5</f>
        <v>80562.41127616275</v>
      </c>
    </row>
    <row r="147" spans="1:14" ht="13.5" thickBot="1">
      <c r="A147" s="5" t="s">
        <v>159</v>
      </c>
      <c r="B147" s="16">
        <f>SUM(B141:B146)</f>
        <v>96306</v>
      </c>
      <c r="C147" s="16">
        <f aca="true" t="shared" si="9" ref="C147:N147">SUM(C141:C146)</f>
        <v>134061.15</v>
      </c>
      <c r="D147" s="16">
        <f t="shared" si="9"/>
        <v>133812.76929999999</v>
      </c>
      <c r="E147" s="16">
        <f t="shared" si="9"/>
        <v>137193.702379</v>
      </c>
      <c r="F147" s="16">
        <f t="shared" si="9"/>
        <v>140676.06345036998</v>
      </c>
      <c r="G147" s="16">
        <f t="shared" si="9"/>
        <v>144262.8953538811</v>
      </c>
      <c r="H147" s="16">
        <f t="shared" si="9"/>
        <v>147957.33221449755</v>
      </c>
      <c r="I147" s="16">
        <f t="shared" si="9"/>
        <v>151762.60218093247</v>
      </c>
      <c r="J147" s="16">
        <f t="shared" si="9"/>
        <v>155682.0302463604</v>
      </c>
      <c r="K147" s="16">
        <f t="shared" si="9"/>
        <v>159719.04115375126</v>
      </c>
      <c r="L147" s="16">
        <f t="shared" si="9"/>
        <v>163877.1623883638</v>
      </c>
      <c r="M147" s="16">
        <f t="shared" si="9"/>
        <v>168160.02726001473</v>
      </c>
      <c r="N147" s="16">
        <f t="shared" si="9"/>
        <v>172571.37807781517</v>
      </c>
    </row>
    <row r="148" spans="2:14" ht="13.5" thickTop="1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</row>
    <row r="149" spans="1:14" ht="12.75">
      <c r="A149" t="s">
        <v>122</v>
      </c>
      <c r="B149" s="10">
        <v>4338</v>
      </c>
      <c r="C149" s="10">
        <f>B149+B149*'Øko. nøgletal'!B5</f>
        <v>4468.14</v>
      </c>
      <c r="D149" s="10">
        <f>C149+C149*'Øko. nøgletal'!C5</f>
        <v>4602.184200000001</v>
      </c>
      <c r="E149" s="10">
        <f>D149+D149*'Øko. nøgletal'!D5</f>
        <v>4740.249726000001</v>
      </c>
      <c r="F149" s="10">
        <f>E149+E149*'Øko. nøgletal'!E5</f>
        <v>4882.457217780001</v>
      </c>
      <c r="G149" s="10">
        <f>F149+F149*'Øko. nøgletal'!F5</f>
        <v>5028.930934313401</v>
      </c>
      <c r="H149" s="10">
        <f>G149+G149*'Øko. nøgletal'!G5</f>
        <v>5179.798862342803</v>
      </c>
      <c r="I149" s="10">
        <f>H149+H149*'Øko. nøgletal'!H5</f>
        <v>5335.192828213087</v>
      </c>
      <c r="J149" s="10">
        <f>I149+I149*'Øko. nøgletal'!I5</f>
        <v>5495.248613059479</v>
      </c>
      <c r="K149" s="10">
        <f>J149+J149*'Øko. nøgletal'!J5</f>
        <v>5660.106071451263</v>
      </c>
      <c r="L149" s="10">
        <f>K149+K149*'Øko. nøgletal'!K5</f>
        <v>5829.909253594801</v>
      </c>
      <c r="M149" s="10">
        <f>L149+L149*'Øko. nøgletal'!L5</f>
        <v>6004.806531202646</v>
      </c>
      <c r="N149" s="10">
        <f>M149+M149*'Øko. nøgletal'!M5</f>
        <v>6184.950727138725</v>
      </c>
    </row>
    <row r="150" spans="1:14" ht="12.75">
      <c r="A150" t="s">
        <v>160</v>
      </c>
      <c r="B150" s="10">
        <v>939</v>
      </c>
      <c r="C150" s="10">
        <f>B150+B150*'Øko. nøgletal'!B5</f>
        <v>967.17</v>
      </c>
      <c r="D150" s="10">
        <f>C150+C150*'Øko. nøgletal'!C5</f>
        <v>996.1850999999999</v>
      </c>
      <c r="E150" s="10">
        <f>D150+D150*'Øko. nøgletal'!D5</f>
        <v>1026.070653</v>
      </c>
      <c r="F150" s="10">
        <f>E150+E150*'Øko. nøgletal'!E5</f>
        <v>1056.85277259</v>
      </c>
      <c r="G150" s="10">
        <f>F150+F150*'Øko. nøgletal'!F5</f>
        <v>1088.5583557677</v>
      </c>
      <c r="H150" s="10">
        <f>G150+G150*'Øko. nøgletal'!G5</f>
        <v>1121.215106440731</v>
      </c>
      <c r="I150" s="10">
        <f>H150+H150*'Øko. nøgletal'!H5</f>
        <v>1154.851559633953</v>
      </c>
      <c r="J150" s="10">
        <f>I150+I150*'Øko. nøgletal'!I5</f>
        <v>1189.4971064229717</v>
      </c>
      <c r="K150" s="10">
        <f>J150+J150*'Øko. nøgletal'!J5</f>
        <v>1225.182019615661</v>
      </c>
      <c r="L150" s="10">
        <f>K150+K150*'Øko. nøgletal'!K5</f>
        <v>1261.9374802041307</v>
      </c>
      <c r="M150" s="10">
        <f>L150+L150*'Øko. nøgletal'!L5</f>
        <v>1299.7956046102545</v>
      </c>
      <c r="N150" s="10">
        <f>M150+M150*'Øko. nøgletal'!M5</f>
        <v>1338.789472748562</v>
      </c>
    </row>
    <row r="151" spans="1:14" ht="12.75">
      <c r="A151" t="s">
        <v>161</v>
      </c>
      <c r="B151" s="10">
        <v>1598</v>
      </c>
      <c r="C151" s="10">
        <f>B151+B151*'Øko. nøgletal'!B5</f>
        <v>1645.94</v>
      </c>
      <c r="D151" s="10">
        <f>C151+C151*'Øko. nøgletal'!C5</f>
        <v>1695.3182000000002</v>
      </c>
      <c r="E151" s="10">
        <f>D151+D151*'Øko. nøgletal'!D5</f>
        <v>1746.177746</v>
      </c>
      <c r="F151" s="10">
        <f>E151+E151*'Øko. nøgletal'!E5</f>
        <v>1798.56307838</v>
      </c>
      <c r="G151" s="10">
        <f>F151+F151*'Øko. nøgletal'!F5</f>
        <v>1852.5199707314</v>
      </c>
      <c r="H151" s="10">
        <f>G151+G151*'Øko. nøgletal'!G5</f>
        <v>1908.095569853342</v>
      </c>
      <c r="I151" s="10">
        <f>H151+H151*'Øko. nøgletal'!H5</f>
        <v>1965.3384369489424</v>
      </c>
      <c r="J151" s="10">
        <f>I151+I151*'Øko. nøgletal'!I5</f>
        <v>2024.2985900574108</v>
      </c>
      <c r="K151" s="10">
        <f>J151+J151*'Øko. nøgletal'!J5</f>
        <v>2085.027547759133</v>
      </c>
      <c r="L151" s="10">
        <f>K151+K151*'Øko. nøgletal'!K5</f>
        <v>2147.578374191907</v>
      </c>
      <c r="M151" s="10">
        <f>L151+L151*'Øko. nøgletal'!L5</f>
        <v>2212.0057254176645</v>
      </c>
      <c r="N151" s="10">
        <f>M151+M151*'Øko. nøgletal'!M5</f>
        <v>2278.365897180194</v>
      </c>
    </row>
    <row r="152" spans="1:14" ht="12.75">
      <c r="A152" t="s">
        <v>162</v>
      </c>
      <c r="B152" s="10">
        <v>3544</v>
      </c>
      <c r="C152" s="10">
        <f>B152+B152*'Øko. nøgletal'!B5</f>
        <v>3650.32</v>
      </c>
      <c r="D152" s="10">
        <f>C152+C152*'Øko. nøgletal'!C5</f>
        <v>3759.8296</v>
      </c>
      <c r="E152" s="10">
        <f>D152+D152*'Øko. nøgletal'!D5</f>
        <v>3872.624488</v>
      </c>
      <c r="F152" s="10">
        <f>E152+E152*'Øko. nøgletal'!E5</f>
        <v>3988.80322264</v>
      </c>
      <c r="G152" s="10">
        <f>F152+F152*'Øko. nøgletal'!F5</f>
        <v>4108.4673193192</v>
      </c>
      <c r="H152" s="10">
        <f>G152+G152*'Øko. nøgletal'!G5</f>
        <v>4231.721338898777</v>
      </c>
      <c r="I152" s="10">
        <f>H152+H152*'Øko. nøgletal'!H5</f>
        <v>4358.67297906574</v>
      </c>
      <c r="J152" s="10">
        <f>I152+I152*'Øko. nøgletal'!I5</f>
        <v>4489.433168437712</v>
      </c>
      <c r="K152" s="10">
        <f>J152+J152*'Øko. nøgletal'!J5</f>
        <v>4624.116163490843</v>
      </c>
      <c r="L152" s="10">
        <f>K152+K152*'Øko. nøgletal'!K5</f>
        <v>4762.8396483955685</v>
      </c>
      <c r="M152" s="10">
        <f>L152+L152*'Øko. nøgletal'!L5</f>
        <v>4905.724837847435</v>
      </c>
      <c r="N152" s="10">
        <f>M152+M152*'Øko. nøgletal'!M5</f>
        <v>5052.8965829828585</v>
      </c>
    </row>
    <row r="153" spans="1:14" ht="12.75">
      <c r="A153" t="s">
        <v>163</v>
      </c>
      <c r="B153" s="10">
        <v>96731</v>
      </c>
      <c r="C153" s="10">
        <f>'Øko. nøgletal'!B11*Afskrivninger!B10</f>
        <v>80067.1265</v>
      </c>
      <c r="D153" s="10">
        <f>'Øko. nøgletal'!C11*Afskrivninger!C10</f>
        <v>78742.1265</v>
      </c>
      <c r="E153" s="10">
        <f>'Øko. nøgletal'!D11*Afskrivninger!D10</f>
        <v>80067.1265</v>
      </c>
      <c r="F153" s="10">
        <f>'Øko. nøgletal'!E11*Afskrivninger!E10</f>
        <v>86427.1265</v>
      </c>
      <c r="G153" s="10">
        <f>'Øko. nøgletal'!F11*Afskrivninger!F10</f>
        <v>85102.1265</v>
      </c>
      <c r="H153" s="10">
        <f>'Øko. nøgletal'!G11*Afskrivninger!G10</f>
        <v>83777.1265</v>
      </c>
      <c r="I153" s="10">
        <f>'Øko. nøgletal'!H11*Afskrivninger!H10</f>
        <v>82452.1265</v>
      </c>
      <c r="J153" s="10">
        <f>'Øko. nøgletal'!I11*Afskrivninger!I10</f>
        <v>81127.1265</v>
      </c>
      <c r="K153" s="10">
        <f>'Øko. nøgletal'!J11*Afskrivninger!J10</f>
        <v>79802.1265</v>
      </c>
      <c r="L153" s="10">
        <f>'Øko. nøgletal'!K11*Afskrivninger!K10</f>
        <v>78477.1265</v>
      </c>
      <c r="M153" s="10">
        <f>'Øko. nøgletal'!L11*Afskrivninger!L10</f>
        <v>77152.1265</v>
      </c>
      <c r="N153" s="10">
        <f>'Øko. nøgletal'!M11*Afskrivninger!M10</f>
        <v>104977.1265</v>
      </c>
    </row>
    <row r="154" spans="1:14" ht="12.75">
      <c r="A154" t="s">
        <v>164</v>
      </c>
      <c r="B154" s="10">
        <v>16790</v>
      </c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14" ht="12.75">
      <c r="A155" t="s">
        <v>165</v>
      </c>
      <c r="B155" s="10">
        <v>854</v>
      </c>
      <c r="C155" s="10">
        <f>B155+B155*'Øko. nøgletal'!B5</f>
        <v>879.62</v>
      </c>
      <c r="D155" s="10">
        <f>C155+C155*'Øko. nøgletal'!C5</f>
        <v>906.0086</v>
      </c>
      <c r="E155" s="10">
        <f>D155+D155*'Øko. nøgletal'!D5</f>
        <v>933.188858</v>
      </c>
      <c r="F155" s="10">
        <f>E155+E155*'Øko. nøgletal'!E5</f>
        <v>961.18452374</v>
      </c>
      <c r="G155" s="10">
        <f>F155+F155*'Øko. nøgletal'!F5</f>
        <v>990.0200594522</v>
      </c>
      <c r="H155" s="10">
        <f>G155+G155*'Øko. nøgletal'!G5</f>
        <v>1019.720661235766</v>
      </c>
      <c r="I155" s="10">
        <f>H155+H155*'Øko. nøgletal'!H5</f>
        <v>1050.312281072839</v>
      </c>
      <c r="J155" s="10">
        <f>I155+I155*'Øko. nøgletal'!I5</f>
        <v>1081.821649505024</v>
      </c>
      <c r="K155" s="10">
        <f>J155+J155*'Øko. nøgletal'!J5</f>
        <v>1114.2762989901746</v>
      </c>
      <c r="L155" s="10">
        <f>K155+K155*'Øko. nøgletal'!K5</f>
        <v>1147.7045879598797</v>
      </c>
      <c r="M155" s="10">
        <f>L155+L155*'Øko. nøgletal'!L5</f>
        <v>1182.1357255986761</v>
      </c>
      <c r="N155" s="10">
        <f>M155+M155*'Øko. nøgletal'!M5</f>
        <v>1217.5997973666365</v>
      </c>
    </row>
    <row r="156" spans="1:14" ht="12.75">
      <c r="A156" t="s">
        <v>166</v>
      </c>
      <c r="B156" s="10">
        <v>9184</v>
      </c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 spans="1:14" ht="12.75">
      <c r="A157" t="s">
        <v>167</v>
      </c>
      <c r="B157" s="10">
        <v>854</v>
      </c>
      <c r="C157" s="10">
        <f>B157+B157*'Øko. nøgletal'!B5</f>
        <v>879.62</v>
      </c>
      <c r="D157" s="10">
        <f>C157+C157*'Øko. nøgletal'!C5</f>
        <v>906.0086</v>
      </c>
      <c r="E157" s="10">
        <f>D157+D157*'Øko. nøgletal'!D5</f>
        <v>933.188858</v>
      </c>
      <c r="F157" s="10">
        <f>E157+E157*'Øko. nøgletal'!E5</f>
        <v>961.18452374</v>
      </c>
      <c r="G157" s="10">
        <f>F157+F157*'Øko. nøgletal'!F5</f>
        <v>990.0200594522</v>
      </c>
      <c r="H157" s="10">
        <f>G157+G157*'Øko. nøgletal'!G5</f>
        <v>1019.720661235766</v>
      </c>
      <c r="I157" s="10">
        <f>H157+H157*'Øko. nøgletal'!H5</f>
        <v>1050.312281072839</v>
      </c>
      <c r="J157" s="10">
        <f>I157+I157*'Øko. nøgletal'!I5</f>
        <v>1081.821649505024</v>
      </c>
      <c r="K157" s="10">
        <f>J157+J157*'Øko. nøgletal'!J5</f>
        <v>1114.2762989901746</v>
      </c>
      <c r="L157" s="10">
        <f>K157+K157*'Øko. nøgletal'!K5</f>
        <v>1147.7045879598797</v>
      </c>
      <c r="M157" s="10">
        <f>L157+L157*'Øko. nøgletal'!L5</f>
        <v>1182.1357255986761</v>
      </c>
      <c r="N157" s="10">
        <f>M157+M157*'Øko. nøgletal'!M5</f>
        <v>1217.5997973666365</v>
      </c>
    </row>
    <row r="158" spans="1:14" ht="12.75">
      <c r="A158" t="s">
        <v>211</v>
      </c>
      <c r="B158" s="10">
        <v>1698</v>
      </c>
      <c r="C158" s="10">
        <f>B158+B158*'Øko. nøgletal'!B5</f>
        <v>1748.94</v>
      </c>
      <c r="D158" s="10">
        <f>C158+C158*'Øko. nøgletal'!C5</f>
        <v>1801.4082</v>
      </c>
      <c r="E158" s="10">
        <f>D158+D158*'Øko. nøgletal'!D5</f>
        <v>1855.450446</v>
      </c>
      <c r="F158" s="10">
        <f>E158+E158*'Øko. nøgletal'!E5</f>
        <v>1911.11395938</v>
      </c>
      <c r="G158" s="10">
        <f>F158+F158*'Øko. nøgletal'!F5</f>
        <v>1968.4473781614001</v>
      </c>
      <c r="H158" s="10">
        <f>G158+G158*'Øko. nøgletal'!G5</f>
        <v>2027.5007995062422</v>
      </c>
      <c r="I158" s="10">
        <f>H158+H158*'Øko. nøgletal'!H5</f>
        <v>2088.325823491429</v>
      </c>
      <c r="J158" s="10">
        <f>I158+I158*'Øko. nøgletal'!I5</f>
        <v>2150.975598196172</v>
      </c>
      <c r="K158" s="10">
        <f>J158+J158*'Øko. nøgletal'!J5</f>
        <v>2215.5048661420574</v>
      </c>
      <c r="L158" s="10">
        <f>K158+K158*'Øko. nøgletal'!K5</f>
        <v>2281.970012126319</v>
      </c>
      <c r="M158" s="10">
        <f>L158+L158*'Øko. nøgletal'!L5</f>
        <v>2350.4291124901088</v>
      </c>
      <c r="N158" s="10">
        <f>M158+M158*'Øko. nøgletal'!M5</f>
        <v>2420.941985864812</v>
      </c>
    </row>
    <row r="159" spans="1:14" ht="13.5" thickBot="1">
      <c r="A159" s="5" t="s">
        <v>168</v>
      </c>
      <c r="B159" s="16">
        <f>SUM(B150:B158)</f>
        <v>132192</v>
      </c>
      <c r="C159" s="16">
        <f aca="true" t="shared" si="10" ref="C159:N159">SUM(C150:C158)</f>
        <v>89838.7365</v>
      </c>
      <c r="D159" s="16">
        <f t="shared" si="10"/>
        <v>88806.8848</v>
      </c>
      <c r="E159" s="16">
        <f t="shared" si="10"/>
        <v>90433.827549</v>
      </c>
      <c r="F159" s="16">
        <f t="shared" si="10"/>
        <v>97104.82858047</v>
      </c>
      <c r="G159" s="16">
        <f t="shared" si="10"/>
        <v>96100.15964288411</v>
      </c>
      <c r="H159" s="16">
        <f t="shared" si="10"/>
        <v>95105.10063717063</v>
      </c>
      <c r="I159" s="16">
        <f t="shared" si="10"/>
        <v>94119.93986128573</v>
      </c>
      <c r="J159" s="16">
        <f t="shared" si="10"/>
        <v>93144.97426212433</v>
      </c>
      <c r="K159" s="16">
        <f t="shared" si="10"/>
        <v>92180.50969498802</v>
      </c>
      <c r="L159" s="16">
        <f t="shared" si="10"/>
        <v>91226.86119083766</v>
      </c>
      <c r="M159" s="16">
        <f t="shared" si="10"/>
        <v>90284.35323156283</v>
      </c>
      <c r="N159" s="16">
        <f t="shared" si="10"/>
        <v>118503.3200335097</v>
      </c>
    </row>
    <row r="160" spans="1:14" ht="14.25" thickBot="1" thickTop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3.5" thickBot="1">
      <c r="A161" s="2"/>
      <c r="B161" s="6">
        <v>2008</v>
      </c>
      <c r="C161" s="7">
        <v>2009</v>
      </c>
      <c r="D161" s="7">
        <v>2010</v>
      </c>
      <c r="E161" s="7">
        <v>2011</v>
      </c>
      <c r="F161" s="7">
        <v>2012</v>
      </c>
      <c r="G161" s="7">
        <v>2013</v>
      </c>
      <c r="H161" s="7">
        <v>2014</v>
      </c>
      <c r="I161" s="7">
        <v>2015</v>
      </c>
      <c r="J161" s="7">
        <v>2016</v>
      </c>
      <c r="K161" s="7">
        <v>2017</v>
      </c>
      <c r="L161" s="7">
        <v>2018</v>
      </c>
      <c r="M161" s="7">
        <v>2019</v>
      </c>
      <c r="N161" s="8">
        <v>2020</v>
      </c>
    </row>
    <row r="163" spans="1:14" ht="12.75">
      <c r="A163" t="s">
        <v>170</v>
      </c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 spans="1:14" ht="12.75">
      <c r="A164" t="s">
        <v>171</v>
      </c>
      <c r="B164" s="10">
        <v>92088</v>
      </c>
      <c r="C164" s="10">
        <f>B164+B164*'Øko. nøgletal'!B5</f>
        <v>94850.64</v>
      </c>
      <c r="D164" s="10">
        <f>C164+C164*'Øko. nøgletal'!C5</f>
        <v>97696.1592</v>
      </c>
      <c r="E164" s="10">
        <f>D164+D164*'Øko. nøgletal'!D5</f>
        <v>100627.043976</v>
      </c>
      <c r="F164" s="10">
        <f>E164+E164*'Øko. nøgletal'!E5</f>
        <v>103645.85529528</v>
      </c>
      <c r="G164" s="10">
        <f>F164+F164*'Øko. nøgletal'!F5</f>
        <v>106755.23095413839</v>
      </c>
      <c r="H164" s="10">
        <f>G164+G164*'Øko. nøgletal'!G5</f>
        <v>109957.88788276254</v>
      </c>
      <c r="I164" s="10">
        <f>H164+H164*'Øko. nøgletal'!H5</f>
        <v>113256.62451924542</v>
      </c>
      <c r="J164" s="10">
        <f>I164+I164*'Øko. nøgletal'!I5</f>
        <v>116654.32325482278</v>
      </c>
      <c r="K164" s="10">
        <f>J164+J164*'Øko. nøgletal'!J5</f>
        <v>120153.95295246747</v>
      </c>
      <c r="L164" s="10">
        <f>K164+K164*'Øko. nøgletal'!K5</f>
        <v>123758.5715410415</v>
      </c>
      <c r="M164" s="10">
        <f>L164+L164*'Øko. nøgletal'!L5</f>
        <v>127471.32868727275</v>
      </c>
      <c r="N164" s="10">
        <f>M164+M164*'Øko. nøgletal'!M5</f>
        <v>131295.46854789092</v>
      </c>
    </row>
    <row r="165" spans="1:14" ht="12.75">
      <c r="A165" t="s">
        <v>172</v>
      </c>
      <c r="B165" s="10">
        <v>19300</v>
      </c>
      <c r="C165" s="10">
        <f>B165+B165*'Øko. nøgletal'!B5</f>
        <v>19879</v>
      </c>
      <c r="D165" s="10">
        <f>C165+C165*'Øko. nøgletal'!C5</f>
        <v>20475.37</v>
      </c>
      <c r="E165" s="10">
        <f>D165+D165*'Øko. nøgletal'!D5</f>
        <v>21089.6311</v>
      </c>
      <c r="F165" s="10">
        <f>E165+E165*'Øko. nøgletal'!E5</f>
        <v>21722.320033</v>
      </c>
      <c r="G165" s="10">
        <f>F165+F165*'Øko. nøgletal'!F5</f>
        <v>22373.98963399</v>
      </c>
      <c r="H165" s="10">
        <f>G165+G165*'Øko. nøgletal'!G5</f>
        <v>23045.2093230097</v>
      </c>
      <c r="I165" s="10">
        <f>H165+H165*'Øko. nøgletal'!H5</f>
        <v>23736.565602699993</v>
      </c>
      <c r="J165" s="10">
        <f>I165+I165*'Øko. nøgletal'!I5</f>
        <v>24448.662570780994</v>
      </c>
      <c r="K165" s="10">
        <f>J165+J165*'Øko. nøgletal'!J5</f>
        <v>25182.122447904425</v>
      </c>
      <c r="L165" s="10">
        <f>K165+K165*'Øko. nøgletal'!K5</f>
        <v>25937.58612134156</v>
      </c>
      <c r="M165" s="10">
        <f>L165+L165*'Øko. nøgletal'!L5</f>
        <v>26715.713704981805</v>
      </c>
      <c r="N165" s="10">
        <f>M165+M165*'Øko. nøgletal'!M5</f>
        <v>27517.18511613126</v>
      </c>
    </row>
    <row r="166" spans="1:14" ht="12.75">
      <c r="A166" t="s">
        <v>174</v>
      </c>
      <c r="B166" s="10">
        <v>24589</v>
      </c>
      <c r="C166" s="10">
        <f>B166+B166*'Øko. nøgletal'!B5</f>
        <v>25326.67</v>
      </c>
      <c r="D166" s="10">
        <f>C166+C166*'Øko. nøgletal'!C5</f>
        <v>26086.4701</v>
      </c>
      <c r="E166" s="10">
        <f>D166+D166*'Øko. nøgletal'!D5</f>
        <v>26869.064202999998</v>
      </c>
      <c r="F166" s="10">
        <f>E166+E166*'Øko. nøgletal'!E5</f>
        <v>27675.13612909</v>
      </c>
      <c r="G166" s="10">
        <f>F166+F166*'Øko. nøgletal'!F5</f>
        <v>28505.3902129627</v>
      </c>
      <c r="H166" s="10">
        <f>G166+G166*'Øko. nøgletal'!G5</f>
        <v>29360.55191935158</v>
      </c>
      <c r="I166" s="10">
        <f>H166+H166*'Øko. nøgletal'!H5</f>
        <v>30241.368476932126</v>
      </c>
      <c r="J166" s="10">
        <f>I166+I166*'Øko. nøgletal'!I5</f>
        <v>31148.60953124009</v>
      </c>
      <c r="K166" s="10">
        <f>J166+J166*'Øko. nøgletal'!J5</f>
        <v>32083.067817177292</v>
      </c>
      <c r="L166" s="10">
        <f>K166+K166*'Øko. nøgletal'!K5</f>
        <v>33045.55985169261</v>
      </c>
      <c r="M166" s="10">
        <f>L166+L166*'Øko. nøgletal'!L5</f>
        <v>34036.92664724339</v>
      </c>
      <c r="N166" s="10">
        <f>M166+M166*'Øko. nøgletal'!M5</f>
        <v>35058.03444666069</v>
      </c>
    </row>
    <row r="167" spans="1:14" ht="12.75">
      <c r="A167" t="s">
        <v>173</v>
      </c>
      <c r="B167" s="10">
        <v>0</v>
      </c>
      <c r="C167" s="10">
        <f>B167+B167*'Øko. nøgletal'!B5</f>
        <v>0</v>
      </c>
      <c r="D167" s="10">
        <f>C167+C167*'Øko. nøgletal'!C5</f>
        <v>0</v>
      </c>
      <c r="E167" s="10">
        <f>D167+D167*'Øko. nøgletal'!D5</f>
        <v>0</v>
      </c>
      <c r="F167" s="10">
        <f>E167+E167*'Øko. nøgletal'!E5</f>
        <v>0</v>
      </c>
      <c r="G167" s="10">
        <f>F167+F167*'Øko. nøgletal'!F5</f>
        <v>0</v>
      </c>
      <c r="H167" s="10">
        <f>G167+G167*'Øko. nøgletal'!G5</f>
        <v>0</v>
      </c>
      <c r="I167" s="10">
        <f>H167+H167*'Øko. nøgletal'!H5</f>
        <v>0</v>
      </c>
      <c r="J167" s="10">
        <f>I167+I167*'Øko. nøgletal'!I5</f>
        <v>0</v>
      </c>
      <c r="K167" s="10">
        <f>J167+J167*'Øko. nøgletal'!J5</f>
        <v>0</v>
      </c>
      <c r="L167" s="10">
        <f>K167+K167*'Øko. nøgletal'!K5</f>
        <v>0</v>
      </c>
      <c r="M167" s="10">
        <f>L167+L167*'Øko. nøgletal'!L5</f>
        <v>0</v>
      </c>
      <c r="N167" s="10">
        <f>M167+M167*'Øko. nøgletal'!M5</f>
        <v>0</v>
      </c>
    </row>
    <row r="168" spans="1:14" ht="12.75">
      <c r="A168" t="s">
        <v>123</v>
      </c>
      <c r="B168" s="10">
        <v>165</v>
      </c>
      <c r="C168" s="10">
        <f>B168+B168*'Øko. nøgletal'!B5</f>
        <v>169.95</v>
      </c>
      <c r="D168" s="10">
        <f>C168+C168*'Øko. nøgletal'!C5</f>
        <v>175.0485</v>
      </c>
      <c r="E168" s="10">
        <f>D168+D168*'Øko. nøgletal'!D5</f>
        <v>180.29995499999998</v>
      </c>
      <c r="F168" s="10">
        <f>E168+E168*'Øko. nøgletal'!E5</f>
        <v>185.70895364999998</v>
      </c>
      <c r="G168" s="10">
        <f>F168+F168*'Øko. nøgletal'!F5</f>
        <v>191.2802222595</v>
      </c>
      <c r="H168" s="10">
        <f>G168+G168*'Øko. nøgletal'!G5</f>
        <v>197.018628927285</v>
      </c>
      <c r="I168" s="10">
        <f>H168+H168*'Øko. nøgletal'!H5</f>
        <v>202.92918779510353</v>
      </c>
      <c r="J168" s="10">
        <f>I168+I168*'Øko. nøgletal'!I5</f>
        <v>209.01706342895665</v>
      </c>
      <c r="K168" s="10">
        <f>J168+J168*'Øko. nøgletal'!J5</f>
        <v>215.28757533182534</v>
      </c>
      <c r="L168" s="10">
        <f>K168+K168*'Øko. nøgletal'!K5</f>
        <v>221.7462025917801</v>
      </c>
      <c r="M168" s="10">
        <f>L168+L168*'Øko. nøgletal'!L5</f>
        <v>228.3985886695335</v>
      </c>
      <c r="N168" s="10">
        <f>M168+M168*'Øko. nøgletal'!M5</f>
        <v>235.2505463296195</v>
      </c>
    </row>
    <row r="169" spans="1:14" ht="13.5" thickBot="1">
      <c r="A169" s="5" t="s">
        <v>175</v>
      </c>
      <c r="B169" s="16">
        <f>SUM(B164:B168)</f>
        <v>136142</v>
      </c>
      <c r="C169" s="16">
        <f aca="true" t="shared" si="11" ref="C169:N169">SUM(C164:C168)</f>
        <v>140226.26</v>
      </c>
      <c r="D169" s="16">
        <f t="shared" si="11"/>
        <v>144433.0478</v>
      </c>
      <c r="E169" s="16">
        <f t="shared" si="11"/>
        <v>148766.039234</v>
      </c>
      <c r="F169" s="16">
        <f t="shared" si="11"/>
        <v>153229.02041102</v>
      </c>
      <c r="G169" s="16">
        <f t="shared" si="11"/>
        <v>157825.8910233506</v>
      </c>
      <c r="H169" s="16">
        <f t="shared" si="11"/>
        <v>162560.6677540511</v>
      </c>
      <c r="I169" s="16">
        <f t="shared" si="11"/>
        <v>167437.4877866726</v>
      </c>
      <c r="J169" s="16">
        <f t="shared" si="11"/>
        <v>172460.61242027284</v>
      </c>
      <c r="K169" s="16">
        <f t="shared" si="11"/>
        <v>177634.43079288103</v>
      </c>
      <c r="L169" s="16">
        <f t="shared" si="11"/>
        <v>182963.46371666744</v>
      </c>
      <c r="M169" s="16">
        <f t="shared" si="11"/>
        <v>188452.36762816747</v>
      </c>
      <c r="N169" s="16">
        <f t="shared" si="11"/>
        <v>194105.9386570125</v>
      </c>
    </row>
    <row r="170" spans="2:14" ht="13.5" thickTop="1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</row>
    <row r="171" spans="1:14" ht="12.75">
      <c r="A171" t="s">
        <v>124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14" ht="12.75">
      <c r="A172" t="s">
        <v>176</v>
      </c>
      <c r="B172" s="10">
        <v>2075</v>
      </c>
      <c r="C172" s="10"/>
      <c r="D172" s="10">
        <f>B172+B172*'Øko. nøgletal'!C5</f>
        <v>2137.25</v>
      </c>
      <c r="E172" s="10">
        <f>C172+C172*'Øko. nøgletal'!D5</f>
        <v>0</v>
      </c>
      <c r="F172" s="10">
        <f>D172+D172*'Øko. nøgletal'!E5</f>
        <v>2201.3675</v>
      </c>
      <c r="G172" s="10">
        <f>E172+E172*'Øko. nøgletal'!F5</f>
        <v>0</v>
      </c>
      <c r="H172" s="10">
        <f>F172+F172*'Øko. nøgletal'!G5</f>
        <v>2267.408525</v>
      </c>
      <c r="I172" s="10">
        <f>G172+G172*'Øko. nøgletal'!H5</f>
        <v>0</v>
      </c>
      <c r="J172" s="10">
        <f>H172+H172*'Øko. nøgletal'!I5</f>
        <v>2335.43078075</v>
      </c>
      <c r="K172" s="10">
        <f>I172+I172*'Øko. nøgletal'!J5</f>
        <v>0</v>
      </c>
      <c r="L172" s="10">
        <f>J172+J172*'Øko. nøgletal'!K5</f>
        <v>2405.4937041724997</v>
      </c>
      <c r="M172" s="10">
        <f>K172+K172*'Øko. nøgletal'!L5</f>
        <v>0</v>
      </c>
      <c r="N172" s="10">
        <f>L172+L172*'Øko. nøgletal'!M5</f>
        <v>2477.658515297675</v>
      </c>
    </row>
    <row r="173" spans="1:14" ht="12.75">
      <c r="A173" t="s">
        <v>177</v>
      </c>
      <c r="B173" s="10">
        <v>7370</v>
      </c>
      <c r="C173" s="10">
        <v>20000</v>
      </c>
      <c r="D173" s="10">
        <f>C173+C173*'Øko. nøgletal'!C5</f>
        <v>20600</v>
      </c>
      <c r="E173" s="10">
        <f>D173+D173*'Øko. nøgletal'!D5</f>
        <v>21218</v>
      </c>
      <c r="F173" s="10">
        <f>E173+E173*'Øko. nøgletal'!E5</f>
        <v>21854.54</v>
      </c>
      <c r="G173" s="10">
        <f>F173+F173*'Øko. nøgletal'!F5</f>
        <v>22510.1762</v>
      </c>
      <c r="H173" s="10">
        <f>G173+G173*'Øko. nøgletal'!G5</f>
        <v>23185.481486</v>
      </c>
      <c r="I173" s="10">
        <f>H173+H173*'Øko. nøgletal'!H5</f>
        <v>23881.04593058</v>
      </c>
      <c r="J173" s="10">
        <f>I173+I173*'Øko. nøgletal'!I5</f>
        <v>24597.4773084974</v>
      </c>
      <c r="K173" s="10">
        <f>J173+J173*'Øko. nøgletal'!J5</f>
        <v>25335.401627752322</v>
      </c>
      <c r="L173" s="10">
        <f>K173+K173*'Øko. nøgletal'!K5</f>
        <v>26095.46367658489</v>
      </c>
      <c r="M173" s="10">
        <f>L173+L173*'Øko. nøgletal'!L5</f>
        <v>26878.32758688244</v>
      </c>
      <c r="N173" s="10">
        <f>M173+M173*'Øko. nøgletal'!M5</f>
        <v>27684.677414488913</v>
      </c>
    </row>
    <row r="174" spans="1:14" ht="12.75">
      <c r="A174" t="s">
        <v>178</v>
      </c>
      <c r="B174" s="10">
        <v>181</v>
      </c>
      <c r="C174" s="10"/>
      <c r="D174" s="10">
        <f>B174+B174*'Øko. nøgletal'!C5</f>
        <v>186.43</v>
      </c>
      <c r="E174" s="10">
        <f>C174+C174*'Øko. nøgletal'!D5</f>
        <v>0</v>
      </c>
      <c r="F174" s="10">
        <f>D174+D174*'Øko. nøgletal'!E5</f>
        <v>192.0229</v>
      </c>
      <c r="G174" s="10">
        <f>E174+E174*'Øko. nøgletal'!F5</f>
        <v>0</v>
      </c>
      <c r="H174" s="10">
        <f>F174+F174*'Øko. nøgletal'!G5</f>
        <v>197.78358699999998</v>
      </c>
      <c r="I174" s="10">
        <f>G174+G174*'Øko. nøgletal'!H5</f>
        <v>0</v>
      </c>
      <c r="J174" s="10">
        <f>H174+H174*'Øko. nøgletal'!I5</f>
        <v>203.71709460999998</v>
      </c>
      <c r="K174" s="10">
        <f>I174+I174*'Øko. nøgletal'!J5</f>
        <v>0</v>
      </c>
      <c r="L174" s="10">
        <f>J174+J174*'Øko. nøgletal'!K5</f>
        <v>209.82860744829998</v>
      </c>
      <c r="M174" s="10">
        <f>K174+K174*'Øko. nøgletal'!L5</f>
        <v>0</v>
      </c>
      <c r="N174" s="10">
        <f>L174+L174*'Øko. nøgletal'!M5</f>
        <v>216.123465671749</v>
      </c>
    </row>
    <row r="175" spans="1:14" ht="12.75">
      <c r="A175" t="s">
        <v>179</v>
      </c>
      <c r="B175" s="10"/>
      <c r="C175" s="10"/>
      <c r="D175" s="10">
        <f>C175+C175*'Øko. nøgletal'!C5</f>
        <v>0</v>
      </c>
      <c r="E175" s="10">
        <f>D175+D175*'Øko. nøgletal'!D5</f>
        <v>0</v>
      </c>
      <c r="F175" s="10">
        <f>E175+E175*'Øko. nøgletal'!E5</f>
        <v>0</v>
      </c>
      <c r="G175" s="10">
        <f>F175+F175*'Øko. nøgletal'!F5</f>
        <v>0</v>
      </c>
      <c r="H175" s="10">
        <f>G175+G175*'Øko. nøgletal'!G5</f>
        <v>0</v>
      </c>
      <c r="I175" s="10">
        <f>H175+H175*'Øko. nøgletal'!H5</f>
        <v>0</v>
      </c>
      <c r="J175" s="10">
        <f>I175+I175*'Øko. nøgletal'!I5</f>
        <v>0</v>
      </c>
      <c r="K175" s="10">
        <f>J175+J175*'Øko. nøgletal'!J5</f>
        <v>0</v>
      </c>
      <c r="L175" s="10">
        <f>K175+K175*'Øko. nøgletal'!K5</f>
        <v>0</v>
      </c>
      <c r="M175" s="10">
        <f>L175+L175*'Øko. nøgletal'!L5</f>
        <v>0</v>
      </c>
      <c r="N175" s="10">
        <f>M175+M175*'Øko. nøgletal'!M5</f>
        <v>0</v>
      </c>
    </row>
    <row r="176" spans="1:14" ht="12.75">
      <c r="A176" t="s">
        <v>180</v>
      </c>
      <c r="B176" s="10">
        <v>2075</v>
      </c>
      <c r="C176" s="10">
        <f>B176+B176*'Øko. nøgletal'!B5</f>
        <v>2137.25</v>
      </c>
      <c r="D176" s="10">
        <f>C176+C176*'Øko. nøgletal'!C5</f>
        <v>2201.3675</v>
      </c>
      <c r="E176" s="10">
        <f>D176+D176*'Øko. nøgletal'!D5</f>
        <v>2267.408525</v>
      </c>
      <c r="F176" s="10">
        <f>E176+E176*'Øko. nøgletal'!E5</f>
        <v>2335.43078075</v>
      </c>
      <c r="G176" s="10">
        <f>F176+F176*'Øko. nøgletal'!F5</f>
        <v>2405.4937041724997</v>
      </c>
      <c r="H176" s="10">
        <f>G176+G176*'Øko. nøgletal'!G5</f>
        <v>2477.658515297675</v>
      </c>
      <c r="I176" s="10">
        <f>H176+H176*'Øko. nøgletal'!H5</f>
        <v>2551.9882707566053</v>
      </c>
      <c r="J176" s="10">
        <f>I176+I176*'Øko. nøgletal'!I5</f>
        <v>2628.5479188793033</v>
      </c>
      <c r="K176" s="10">
        <f>J176+J176*'Øko. nøgletal'!J5</f>
        <v>2707.4043564456824</v>
      </c>
      <c r="L176" s="10">
        <f>K176+K176*'Øko. nøgletal'!K5</f>
        <v>2788.626487139053</v>
      </c>
      <c r="M176" s="10">
        <f>L176+L176*'Øko. nøgletal'!L5</f>
        <v>2872.285281753225</v>
      </c>
      <c r="N176" s="10">
        <f>M176+M176*'Øko. nøgletal'!M5</f>
        <v>2958.4538402058215</v>
      </c>
    </row>
    <row r="177" spans="1:14" ht="13.5" thickBot="1">
      <c r="A177" s="5" t="s">
        <v>181</v>
      </c>
      <c r="B177" s="16">
        <f>SUM(B172:B176)</f>
        <v>11701</v>
      </c>
      <c r="C177" s="16">
        <f aca="true" t="shared" si="12" ref="C177:N177">SUM(C172:C176)</f>
        <v>22137.25</v>
      </c>
      <c r="D177" s="16">
        <f t="shared" si="12"/>
        <v>25125.0475</v>
      </c>
      <c r="E177" s="16">
        <f t="shared" si="12"/>
        <v>23485.408525</v>
      </c>
      <c r="F177" s="16">
        <f t="shared" si="12"/>
        <v>26583.361180750002</v>
      </c>
      <c r="G177" s="16">
        <f t="shared" si="12"/>
        <v>24915.6699041725</v>
      </c>
      <c r="H177" s="16">
        <f t="shared" si="12"/>
        <v>28128.332113297678</v>
      </c>
      <c r="I177" s="16">
        <f t="shared" si="12"/>
        <v>26433.034201336606</v>
      </c>
      <c r="J177" s="16">
        <f t="shared" si="12"/>
        <v>29765.173102736706</v>
      </c>
      <c r="K177" s="16">
        <f t="shared" si="12"/>
        <v>28042.805984198007</v>
      </c>
      <c r="L177" s="16">
        <f t="shared" si="12"/>
        <v>31499.412475344743</v>
      </c>
      <c r="M177" s="16">
        <f t="shared" si="12"/>
        <v>29750.612868635664</v>
      </c>
      <c r="N177" s="16">
        <f t="shared" si="12"/>
        <v>33336.913235664164</v>
      </c>
    </row>
    <row r="178" spans="2:14" ht="13.5" thickTop="1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 spans="1:14" ht="13.5" thickBot="1">
      <c r="A179" s="5" t="s">
        <v>89</v>
      </c>
      <c r="B179" s="16">
        <v>24065</v>
      </c>
      <c r="C179" s="16">
        <v>23000</v>
      </c>
      <c r="D179" s="16">
        <f>C179+C179*'Øko. nøgletal'!C5</f>
        <v>23690</v>
      </c>
      <c r="E179" s="16">
        <f>D179+D179*'Øko. nøgletal'!D5</f>
        <v>24400.7</v>
      </c>
      <c r="F179" s="16">
        <f>E179+E179*'Øko. nøgletal'!E5</f>
        <v>25132.721</v>
      </c>
      <c r="G179" s="16">
        <f>F179+F179*'Øko. nøgletal'!F5</f>
        <v>25886.70263</v>
      </c>
      <c r="H179" s="16">
        <f>G179+G179*'Øko. nøgletal'!G5</f>
        <v>26663.3037089</v>
      </c>
      <c r="I179" s="16">
        <f>H179+H179*'Øko. nøgletal'!H5</f>
        <v>27463.202820167</v>
      </c>
      <c r="J179" s="16">
        <f>I179+I179*'Øko. nøgletal'!I5</f>
        <v>28287.09890477201</v>
      </c>
      <c r="K179" s="16">
        <f>J179+J179*'Øko. nøgletal'!J5</f>
        <v>29135.71187191517</v>
      </c>
      <c r="L179" s="16">
        <f>K179+K179*'Øko. nøgletal'!K5</f>
        <v>30009.783228072625</v>
      </c>
      <c r="M179" s="16">
        <f>L179+L179*'Øko. nøgletal'!L5</f>
        <v>30910.076724914805</v>
      </c>
      <c r="N179" s="16">
        <f>M179+M179*'Øko. nøgletal'!M5</f>
        <v>31837.37902666225</v>
      </c>
    </row>
    <row r="180" spans="2:14" ht="13.5" thickTop="1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</row>
    <row r="181" spans="1:14" ht="13.5" thickBot="1">
      <c r="A181" s="1" t="s">
        <v>182</v>
      </c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</row>
    <row r="182" spans="1:14" ht="12.75">
      <c r="A182" t="s">
        <v>183</v>
      </c>
      <c r="B182" s="10">
        <v>15000</v>
      </c>
      <c r="C182" s="10">
        <v>14500</v>
      </c>
      <c r="D182" s="10">
        <f>C182+C182*'Øko. nøgletal'!C5</f>
        <v>14935</v>
      </c>
      <c r="E182" s="10">
        <f>D182+D182*'Øko. nøgletal'!D5</f>
        <v>15383.05</v>
      </c>
      <c r="F182" s="10">
        <f>E182+E182*'Øko. nøgletal'!E5</f>
        <v>15844.5415</v>
      </c>
      <c r="G182" s="10">
        <f>F182+F182*'Øko. nøgletal'!F5</f>
        <v>16319.877745</v>
      </c>
      <c r="H182" s="10">
        <f>G182+G182*'Øko. nøgletal'!G5</f>
        <v>16809.474077349998</v>
      </c>
      <c r="I182" s="10">
        <f>H182+H182*'Øko. nøgletal'!H5</f>
        <v>17313.7582996705</v>
      </c>
      <c r="J182" s="10">
        <f>I182+I182*'Øko. nøgletal'!I5</f>
        <v>17833.171048660613</v>
      </c>
      <c r="K182" s="10">
        <f>J182+J182*'Øko. nøgletal'!J5</f>
        <v>18368.16618012043</v>
      </c>
      <c r="L182" s="10">
        <f>K182+K182*'Øko. nøgletal'!K5</f>
        <v>18919.211165524044</v>
      </c>
      <c r="M182" s="10">
        <f>L182+L182*'Øko. nøgletal'!L5</f>
        <v>19486.787500489765</v>
      </c>
      <c r="N182" s="10">
        <f>M182+M182*'Øko. nøgletal'!M5</f>
        <v>20071.39112550446</v>
      </c>
    </row>
    <row r="183" spans="1:14" ht="12.75">
      <c r="A183" t="s">
        <v>184</v>
      </c>
      <c r="B183" s="10">
        <v>6000</v>
      </c>
      <c r="C183" s="10">
        <v>5000</v>
      </c>
      <c r="D183" s="10">
        <f>C183+C183*'Øko. nøgletal'!C5</f>
        <v>5150</v>
      </c>
      <c r="E183" s="10">
        <f>D183+D183*'Øko. nøgletal'!D5</f>
        <v>5304.5</v>
      </c>
      <c r="F183" s="10">
        <f>E183+E183*'Øko. nøgletal'!E5</f>
        <v>5463.635</v>
      </c>
      <c r="G183" s="10">
        <f>F183+F183*'Øko. nøgletal'!F5</f>
        <v>5627.54405</v>
      </c>
      <c r="H183" s="10">
        <f>G183+G183*'Øko. nøgletal'!G5</f>
        <v>5796.3703715</v>
      </c>
      <c r="I183" s="10">
        <f>H183+H183*'Øko. nøgletal'!H5</f>
        <v>5970.261482645</v>
      </c>
      <c r="J183" s="10">
        <f>I183+I183*'Øko. nøgletal'!I5</f>
        <v>6149.36932712435</v>
      </c>
      <c r="K183" s="10">
        <f>J183+J183*'Øko. nøgletal'!J5</f>
        <v>6333.850406938081</v>
      </c>
      <c r="L183" s="10">
        <f>K183+K183*'Øko. nøgletal'!K5</f>
        <v>6523.865919146223</v>
      </c>
      <c r="M183" s="10">
        <f>L183+L183*'Øko. nøgletal'!L5</f>
        <v>6719.58189672061</v>
      </c>
      <c r="N183" s="10">
        <f>M183+M183*'Øko. nøgletal'!M5</f>
        <v>6921.169353622228</v>
      </c>
    </row>
    <row r="184" spans="1:14" ht="12.75">
      <c r="A184" t="s">
        <v>185</v>
      </c>
      <c r="B184" s="10">
        <v>0</v>
      </c>
      <c r="C184" s="10">
        <v>7500</v>
      </c>
      <c r="D184" s="10">
        <f>C184+C184*'Øko. nøgletal'!C5</f>
        <v>7725</v>
      </c>
      <c r="E184" s="10">
        <f>D184+D184*'Øko. nøgletal'!D5</f>
        <v>7956.75</v>
      </c>
      <c r="F184" s="10">
        <f>E184+E184*'Øko. nøgletal'!E5</f>
        <v>8195.4525</v>
      </c>
      <c r="G184" s="10">
        <f>F184+F184*'Øko. nøgletal'!F5</f>
        <v>8441.316074999999</v>
      </c>
      <c r="H184" s="10">
        <f>G184+G184*'Øko. nøgletal'!G5</f>
        <v>8694.555557249998</v>
      </c>
      <c r="I184" s="10">
        <f>H184+H184*'Øko. nøgletal'!H5</f>
        <v>8955.392223967498</v>
      </c>
      <c r="J184" s="10">
        <f>I184+I184*'Øko. nøgletal'!I5</f>
        <v>9224.053990686523</v>
      </c>
      <c r="K184" s="10">
        <f>J184+J184*'Øko. nøgletal'!J5</f>
        <v>9500.77561040712</v>
      </c>
      <c r="L184" s="10">
        <f>K184+K184*'Øko. nøgletal'!K5</f>
        <v>9785.798878719334</v>
      </c>
      <c r="M184" s="10">
        <f>L184+L184*'Øko. nøgletal'!L5</f>
        <v>10079.372845080914</v>
      </c>
      <c r="N184" s="10">
        <f>M184+M184*'Øko. nøgletal'!M5</f>
        <v>10381.754030433342</v>
      </c>
    </row>
    <row r="185" spans="1:14" ht="12.75">
      <c r="A185" t="s">
        <v>186</v>
      </c>
      <c r="B185" s="10">
        <v>0</v>
      </c>
      <c r="C185" s="10">
        <v>3000</v>
      </c>
      <c r="D185" s="10">
        <f>C185+C185*'Øko. nøgletal'!C5</f>
        <v>3090</v>
      </c>
      <c r="E185" s="10">
        <f>D185+D185*'Øko. nøgletal'!D5</f>
        <v>3182.7</v>
      </c>
      <c r="F185" s="10">
        <f>E185+E185*'Øko. nøgletal'!E5</f>
        <v>3278.1809999999996</v>
      </c>
      <c r="G185" s="10">
        <f>F185+F185*'Øko. nøgletal'!F5</f>
        <v>3376.5264299999994</v>
      </c>
      <c r="H185" s="10">
        <f>G185+G185*'Øko. nøgletal'!G5</f>
        <v>3477.8222228999994</v>
      </c>
      <c r="I185" s="10">
        <f>H185+H185*'Øko. nøgletal'!H5</f>
        <v>3582.1568895869996</v>
      </c>
      <c r="J185" s="10">
        <f>I185+I185*'Øko. nøgletal'!I5</f>
        <v>3689.6215962746096</v>
      </c>
      <c r="K185" s="10">
        <f>J185+J185*'Øko. nøgletal'!J5</f>
        <v>3800.310244162848</v>
      </c>
      <c r="L185" s="10">
        <f>K185+K185*'Øko. nøgletal'!K5</f>
        <v>3914.3195514877334</v>
      </c>
      <c r="M185" s="10">
        <f>L185+L185*'Øko. nøgletal'!L5</f>
        <v>4031.7491380323654</v>
      </c>
      <c r="N185" s="10">
        <f>M185+M185*'Øko. nøgletal'!M5</f>
        <v>4152.701612173337</v>
      </c>
    </row>
    <row r="186" spans="1:14" ht="12.75">
      <c r="A186" t="s">
        <v>187</v>
      </c>
      <c r="B186" s="10">
        <v>21600</v>
      </c>
      <c r="C186" s="10">
        <v>19000</v>
      </c>
      <c r="D186" s="10">
        <f>C186+C186*'Øko. nøgletal'!C5</f>
        <v>19570</v>
      </c>
      <c r="E186" s="10">
        <f>D186+D186*'Øko. nøgletal'!D5</f>
        <v>20157.1</v>
      </c>
      <c r="F186" s="10">
        <f>E186+E186*'Øko. nøgletal'!E5</f>
        <v>20761.813</v>
      </c>
      <c r="G186" s="10">
        <f>F186+F186*'Øko. nøgletal'!F5</f>
        <v>21384.66739</v>
      </c>
      <c r="H186" s="10">
        <f>G186+G186*'Øko. nøgletal'!G5</f>
        <v>22026.207411699997</v>
      </c>
      <c r="I186" s="10">
        <f>H186+H186*'Øko. nøgletal'!H5</f>
        <v>22686.993634050996</v>
      </c>
      <c r="J186" s="10">
        <f>I186+I186*'Øko. nøgletal'!I5</f>
        <v>23367.603443072527</v>
      </c>
      <c r="K186" s="10">
        <f>J186+J186*'Øko. nøgletal'!J5</f>
        <v>24068.631546364704</v>
      </c>
      <c r="L186" s="10">
        <f>K186+K186*'Øko. nøgletal'!K5</f>
        <v>24790.690492755646</v>
      </c>
      <c r="M186" s="10">
        <f>L186+L186*'Øko. nøgletal'!L5</f>
        <v>25534.411207538316</v>
      </c>
      <c r="N186" s="10">
        <f>M186+M186*'Øko. nøgletal'!M5</f>
        <v>26300.443543764464</v>
      </c>
    </row>
    <row r="187" spans="1:14" ht="12.75">
      <c r="A187" t="s">
        <v>188</v>
      </c>
      <c r="B187" s="10">
        <v>2500</v>
      </c>
      <c r="C187" s="10">
        <v>0</v>
      </c>
      <c r="D187" s="10">
        <f>C187+C187*'Øko. nøgletal'!C5</f>
        <v>0</v>
      </c>
      <c r="E187" s="10">
        <f>D187+D187*'Øko. nøgletal'!D5</f>
        <v>0</v>
      </c>
      <c r="F187" s="10">
        <f>E187+E187*'Øko. nøgletal'!E5</f>
        <v>0</v>
      </c>
      <c r="G187" s="10">
        <f>F187+F187*'Øko. nøgletal'!F5</f>
        <v>0</v>
      </c>
      <c r="H187" s="10">
        <f>G187+G187*'Øko. nøgletal'!G5</f>
        <v>0</v>
      </c>
      <c r="I187" s="10">
        <f>H187+H187*'Øko. nøgletal'!H5</f>
        <v>0</v>
      </c>
      <c r="J187" s="10">
        <f>I187+I187*'Øko. nøgletal'!I5</f>
        <v>0</v>
      </c>
      <c r="K187" s="10">
        <f>J187+J187*'Øko. nøgletal'!J5</f>
        <v>0</v>
      </c>
      <c r="L187" s="10">
        <f>K187+K187*'Øko. nøgletal'!K5</f>
        <v>0</v>
      </c>
      <c r="M187" s="10">
        <f>L187+L187*'Øko. nøgletal'!L5</f>
        <v>0</v>
      </c>
      <c r="N187" s="10">
        <f>M187+M187*'Øko. nøgletal'!M5</f>
        <v>0</v>
      </c>
    </row>
    <row r="188" spans="1:14" ht="12.75">
      <c r="A188" t="s">
        <v>212</v>
      </c>
      <c r="B188" s="10">
        <v>97137</v>
      </c>
      <c r="C188" s="10">
        <f>(Medlemsstatus!C5+Medlemsstatus!C6+Medlemsstatus!C7+Medlemsstatus!C11+Medlemsstatus!C18+Medlemsstatus!C25+Medlemsstatus!C26+Medlemsstatus!C27)*'Øko. nøgletal'!B29*12</f>
        <v>99000</v>
      </c>
      <c r="D188" s="10">
        <f>(Medlemsstatus!D5+Medlemsstatus!D6+Medlemsstatus!D7+Medlemsstatus!D11+Medlemsstatus!D18+Medlemsstatus!D25+Medlemsstatus!D26+Medlemsstatus!D27)*'Øko. nøgletal'!C29*12</f>
        <v>101970</v>
      </c>
      <c r="E188" s="10">
        <f>(Medlemsstatus!E5+Medlemsstatus!E6+Medlemsstatus!E7+Medlemsstatus!E11+Medlemsstatus!E18+Medlemsstatus!E25+Medlemsstatus!E26+Medlemsstatus!E27)*'Øko. nøgletal'!D29*12</f>
        <v>105029.09999999999</v>
      </c>
      <c r="F188" s="10">
        <f>(Medlemsstatus!F5+Medlemsstatus!F6+Medlemsstatus!F7+Medlemsstatus!F11+Medlemsstatus!F18+Medlemsstatus!F25+Medlemsstatus!F26+Medlemsstatus!F27)*'Øko. nøgletal'!E29*12</f>
        <v>108179.97299999998</v>
      </c>
      <c r="G188" s="10">
        <f>(Medlemsstatus!G5+Medlemsstatus!G6+Medlemsstatus!G7+Medlemsstatus!G11+Medlemsstatus!G18+Medlemsstatus!G25+Medlemsstatus!G26+Medlemsstatus!G27)*'Øko. nøgletal'!F29*12</f>
        <v>111425.37219</v>
      </c>
      <c r="H188" s="10">
        <f>(Medlemsstatus!H5+Medlemsstatus!H6+Medlemsstatus!H7+Medlemsstatus!H11+Medlemsstatus!H18+Medlemsstatus!H25+Medlemsstatus!H26+Medlemsstatus!H27)*'Øko. nøgletal'!G29*12</f>
        <v>114768.1333557</v>
      </c>
      <c r="I188" s="10">
        <f>(Medlemsstatus!I5+Medlemsstatus!I6+Medlemsstatus!I7+Medlemsstatus!I11+Medlemsstatus!I18+Medlemsstatus!I25+Medlemsstatus!I26+Medlemsstatus!I27)*'Øko. nøgletal'!H29*12</f>
        <v>118211.17735637099</v>
      </c>
      <c r="J188" s="10">
        <f>(Medlemsstatus!J5+Medlemsstatus!J6+Medlemsstatus!J7+Medlemsstatus!J11+Medlemsstatus!J18+Medlemsstatus!J25+Medlemsstatus!J26+Medlemsstatus!J27)*'Øko. nøgletal'!I29*12</f>
        <v>121757.51267706213</v>
      </c>
      <c r="K188" s="10">
        <f>(Medlemsstatus!K5+Medlemsstatus!K6+Medlemsstatus!K7+Medlemsstatus!K11+Medlemsstatus!K18+Medlemsstatus!K25+Medlemsstatus!K26+Medlemsstatus!K27)*'Øko. nøgletal'!J29*12</f>
        <v>125410.238057374</v>
      </c>
      <c r="L188" s="10">
        <f>(Medlemsstatus!L5+Medlemsstatus!L6+Medlemsstatus!L7+Medlemsstatus!L11+Medlemsstatus!L18+Medlemsstatus!L25+Medlemsstatus!L26+Medlemsstatus!L27)*'Øko. nøgletal'!K29*12</f>
        <v>129172.54519909521</v>
      </c>
      <c r="M188" s="10">
        <f>(Medlemsstatus!M5+Medlemsstatus!M6+Medlemsstatus!M7+Medlemsstatus!M11+Medlemsstatus!M18+Medlemsstatus!M25+Medlemsstatus!M26+Medlemsstatus!M27)*'Øko. nøgletal'!L29*12</f>
        <v>133047.72155506807</v>
      </c>
      <c r="N188" s="10">
        <f>(Medlemsstatus!N5+Medlemsstatus!N6+Medlemsstatus!N7+Medlemsstatus!N11+Medlemsstatus!N18+Medlemsstatus!N25+Medlemsstatus!N26+Medlemsstatus!N27)*'Øko. nøgletal'!M29*12</f>
        <v>137039.1532017201</v>
      </c>
    </row>
    <row r="189" spans="1:14" ht="13.5" thickBot="1">
      <c r="A189" s="5" t="s">
        <v>189</v>
      </c>
      <c r="B189" s="16">
        <f>SUM(B182:B188)</f>
        <v>142237</v>
      </c>
      <c r="C189" s="16">
        <f>SUM(C182:C187)</f>
        <v>49000</v>
      </c>
      <c r="D189" s="16">
        <f aca="true" t="shared" si="13" ref="D189:N189">SUM(D182:D187)</f>
        <v>50470</v>
      </c>
      <c r="E189" s="16">
        <f t="shared" si="13"/>
        <v>51984.1</v>
      </c>
      <c r="F189" s="16">
        <f t="shared" si="13"/>
        <v>53543.62299999999</v>
      </c>
      <c r="G189" s="16">
        <f t="shared" si="13"/>
        <v>55149.93169</v>
      </c>
      <c r="H189" s="16">
        <f t="shared" si="13"/>
        <v>56804.42964069999</v>
      </c>
      <c r="I189" s="16">
        <f t="shared" si="13"/>
        <v>58508.56252992099</v>
      </c>
      <c r="J189" s="16">
        <f t="shared" si="13"/>
        <v>60263.81940581862</v>
      </c>
      <c r="K189" s="16">
        <f t="shared" si="13"/>
        <v>62071.73398799319</v>
      </c>
      <c r="L189" s="16">
        <f t="shared" si="13"/>
        <v>63933.88600763297</v>
      </c>
      <c r="M189" s="16">
        <f t="shared" si="13"/>
        <v>65851.90258786197</v>
      </c>
      <c r="N189" s="16">
        <f t="shared" si="13"/>
        <v>67827.45966549784</v>
      </c>
    </row>
    <row r="190" ht="13.5" thickTop="1"/>
    <row r="191" spans="1:14" ht="12.75">
      <c r="A191" t="s">
        <v>93</v>
      </c>
      <c r="B191">
        <v>445</v>
      </c>
      <c r="C191" s="10">
        <f>-Balance!B26*'Øko. nøgletal'!B7</f>
        <v>7912.53</v>
      </c>
      <c r="D191" s="10">
        <f>-Balance!C26*'Øko. nøgletal'!C7</f>
        <v>6812.104004999999</v>
      </c>
      <c r="E191" s="10">
        <f>-Balance!D26*'Øko. nøgletal'!D7</f>
        <v>9892.210143149996</v>
      </c>
      <c r="F191" s="10">
        <f>-Balance!E26*'Øko. nøgletal'!E7</f>
        <v>8476.768681834496</v>
      </c>
      <c r="G191" s="10">
        <f>-Balance!F26*'Øko. nøgletal'!F7</f>
        <v>-7756.186254438766</v>
      </c>
      <c r="H191" s="10">
        <f>-Balance!G26*'Øko. nøgletal'!G7</f>
        <v>-7371.400101492078</v>
      </c>
      <c r="I191" s="10">
        <f>-Balance!H26*'Øko. nøgletal'!H7</f>
        <v>-6660.302761249595</v>
      </c>
      <c r="J191" s="10">
        <f>-Balance!I26*'Øko. nøgletal'!I7</f>
        <v>-3059.2241703904156</v>
      </c>
      <c r="K191" s="10">
        <f>-Balance!J26*'Øko. nøgletal'!J7</f>
        <v>-1725.446814005374</v>
      </c>
      <c r="L191" s="10">
        <f>-Balance!K26*'Øko. nøgletal'!K7</f>
        <v>2231.6918687147586</v>
      </c>
      <c r="M191" s="10">
        <f>-Balance!L26*'Øko. nøgletal'!L7</f>
        <v>6792.781319032075</v>
      </c>
      <c r="N191" s="10">
        <f>-Balance!M26*'Øko. nøgletal'!M7</f>
        <v>7489.577786965667</v>
      </c>
    </row>
    <row r="192" spans="1:2" ht="13.5" thickBot="1">
      <c r="A192" s="1" t="s">
        <v>94</v>
      </c>
      <c r="B192">
        <v>635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D18" sqref="D18"/>
    </sheetView>
  </sheetViews>
  <sheetFormatPr defaultColWidth="9.140625" defaultRowHeight="12.75"/>
  <cols>
    <col min="1" max="1" width="24.28125" style="0" customWidth="1"/>
    <col min="3" max="3" width="9.7109375" style="0" bestFit="1" customWidth="1"/>
    <col min="4" max="4" width="9.57421875" style="0" customWidth="1"/>
    <col min="5" max="5" width="10.00390625" style="0" customWidth="1"/>
    <col min="6" max="6" width="10.421875" style="0" customWidth="1"/>
    <col min="7" max="7" width="10.7109375" style="0" customWidth="1"/>
    <col min="8" max="8" width="10.421875" style="0" customWidth="1"/>
    <col min="9" max="9" width="10.8515625" style="0" customWidth="1"/>
    <col min="10" max="10" width="10.28125" style="0" customWidth="1"/>
    <col min="11" max="11" width="10.140625" style="0" customWidth="1"/>
    <col min="12" max="12" width="10.57421875" style="0" customWidth="1"/>
    <col min="13" max="13" width="10.28125" style="0" customWidth="1"/>
    <col min="14" max="14" width="10.00390625" style="0" customWidth="1"/>
  </cols>
  <sheetData>
    <row r="1" ht="13.5" thickBot="1">
      <c r="A1" s="9" t="s">
        <v>199</v>
      </c>
    </row>
    <row r="2" spans="2:14" ht="13.5" thickBot="1">
      <c r="B2" s="6">
        <v>2008</v>
      </c>
      <c r="C2" s="7">
        <v>2009</v>
      </c>
      <c r="D2" s="7">
        <v>2010</v>
      </c>
      <c r="E2" s="7">
        <v>2011</v>
      </c>
      <c r="F2" s="7">
        <v>2012</v>
      </c>
      <c r="G2" s="7">
        <v>2013</v>
      </c>
      <c r="H2" s="7">
        <v>2014</v>
      </c>
      <c r="I2" s="7">
        <v>2015</v>
      </c>
      <c r="J2" s="7">
        <v>2016</v>
      </c>
      <c r="K2" s="7">
        <v>2017</v>
      </c>
      <c r="L2" s="7">
        <v>2018</v>
      </c>
      <c r="M2" s="7">
        <v>2019</v>
      </c>
      <c r="N2" s="8">
        <v>2020</v>
      </c>
    </row>
    <row r="3" spans="2:14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12.75">
      <c r="A4" s="9" t="s">
        <v>192</v>
      </c>
    </row>
    <row r="5" spans="1:14" ht="12.75">
      <c r="A5" t="s">
        <v>194</v>
      </c>
      <c r="B5" s="10">
        <v>10164</v>
      </c>
      <c r="C5" s="10">
        <v>10164</v>
      </c>
      <c r="D5" s="10">
        <v>10164</v>
      </c>
      <c r="E5" s="10">
        <v>10164</v>
      </c>
      <c r="F5" s="10">
        <v>10164</v>
      </c>
      <c r="G5" s="10">
        <v>10164</v>
      </c>
      <c r="H5" s="10">
        <v>10164</v>
      </c>
      <c r="I5" s="10">
        <v>10164</v>
      </c>
      <c r="J5" s="10">
        <v>10164</v>
      </c>
      <c r="K5" s="10">
        <v>10164</v>
      </c>
      <c r="L5" s="10">
        <v>10164</v>
      </c>
      <c r="M5" s="10">
        <v>10164</v>
      </c>
      <c r="N5" s="10">
        <v>10164</v>
      </c>
    </row>
    <row r="6" spans="1:14" ht="12.75">
      <c r="A6" t="s">
        <v>195</v>
      </c>
      <c r="B6" s="10">
        <v>10983</v>
      </c>
      <c r="C6" s="10">
        <v>10983</v>
      </c>
      <c r="D6" s="10">
        <v>10983</v>
      </c>
      <c r="E6" s="10">
        <v>10983</v>
      </c>
      <c r="F6" s="10">
        <v>10983</v>
      </c>
      <c r="G6" s="10">
        <v>10983</v>
      </c>
      <c r="H6" s="10">
        <v>10983</v>
      </c>
      <c r="I6" s="10">
        <v>10983</v>
      </c>
      <c r="J6" s="10">
        <v>10983</v>
      </c>
      <c r="K6" s="10">
        <v>10983</v>
      </c>
      <c r="L6" s="10">
        <v>10983</v>
      </c>
      <c r="M6" s="10">
        <v>10983</v>
      </c>
      <c r="N6" s="10">
        <v>10983</v>
      </c>
    </row>
    <row r="7" spans="1:14" ht="12.75">
      <c r="A7" t="s">
        <v>88</v>
      </c>
      <c r="B7" s="10">
        <v>504306</v>
      </c>
      <c r="C7" s="10">
        <f>Afskrivninger!B18</f>
        <v>504306</v>
      </c>
      <c r="D7" s="10">
        <f>Afskrivninger!C18</f>
        <v>504306</v>
      </c>
      <c r="E7" s="10">
        <f>Afskrivninger!D18</f>
        <v>504306</v>
      </c>
      <c r="F7" s="10">
        <f>Afskrivninger!E18</f>
        <v>504306</v>
      </c>
      <c r="G7" s="10">
        <f>Afskrivninger!F18</f>
        <v>504306</v>
      </c>
      <c r="H7" s="10">
        <f>Afskrivninger!G18</f>
        <v>504306</v>
      </c>
      <c r="I7" s="10">
        <f>Afskrivninger!H18</f>
        <v>504306</v>
      </c>
      <c r="J7" s="10">
        <f>Afskrivninger!I18</f>
        <v>604306</v>
      </c>
      <c r="K7" s="10">
        <f>Afskrivninger!J18</f>
        <v>604306</v>
      </c>
      <c r="L7" s="10">
        <f>Afskrivninger!K18</f>
        <v>604306</v>
      </c>
      <c r="M7" s="10">
        <f>Afskrivninger!L18</f>
        <v>604306</v>
      </c>
      <c r="N7" s="10">
        <f>Afskrivninger!M18</f>
        <v>604306</v>
      </c>
    </row>
    <row r="8" spans="1:14" ht="12.75">
      <c r="A8" t="s">
        <v>104</v>
      </c>
      <c r="B8" s="10">
        <v>3163401</v>
      </c>
      <c r="C8" s="10">
        <f>Afskrivninger!B10</f>
        <v>3021401</v>
      </c>
      <c r="D8" s="10">
        <f>Afskrivninger!C10</f>
        <v>2971401</v>
      </c>
      <c r="E8" s="10">
        <f>Afskrivninger!D10</f>
        <v>3021401</v>
      </c>
      <c r="F8" s="10">
        <f>Afskrivninger!E10</f>
        <v>3261401</v>
      </c>
      <c r="G8" s="10">
        <f>Afskrivninger!F10</f>
        <v>3211401</v>
      </c>
      <c r="H8" s="10">
        <f>Afskrivninger!G10</f>
        <v>3161401</v>
      </c>
      <c r="I8" s="10">
        <f>Afskrivninger!H10</f>
        <v>3111401</v>
      </c>
      <c r="J8" s="10">
        <f>Afskrivninger!I10</f>
        <v>3061401</v>
      </c>
      <c r="K8" s="10">
        <f>Afskrivninger!J10</f>
        <v>3011401</v>
      </c>
      <c r="L8" s="10">
        <f>Afskrivninger!K10</f>
        <v>2961401</v>
      </c>
      <c r="M8" s="10">
        <f>Afskrivninger!L10</f>
        <v>2911401</v>
      </c>
      <c r="N8" s="10">
        <f>Afskrivninger!M10</f>
        <v>3961401</v>
      </c>
    </row>
    <row r="9" spans="1:14" ht="12.75">
      <c r="A9" t="s">
        <v>87</v>
      </c>
      <c r="B9" s="10">
        <v>211891</v>
      </c>
      <c r="C9" s="10">
        <f>Afskrivninger!B26</f>
        <v>218357.35</v>
      </c>
      <c r="D9" s="10">
        <f>Afskrivninger!C26</f>
        <v>194103.7475</v>
      </c>
      <c r="E9" s="10">
        <f>Afskrivninger!D26</f>
        <v>164988.185375</v>
      </c>
      <c r="F9" s="10">
        <f>Afskrivninger!E26</f>
        <v>140239.95756875</v>
      </c>
      <c r="G9" s="10">
        <f>Afskrivninger!F26</f>
        <v>144703.96393343748</v>
      </c>
      <c r="H9" s="10">
        <f>Afskrivninger!G26</f>
        <v>195248.36934342186</v>
      </c>
      <c r="I9" s="10">
        <f>Afskrivninger!H26</f>
        <v>165961.11394190858</v>
      </c>
      <c r="J9" s="10">
        <f>Afskrivninger!I26</f>
        <v>141066.9468506223</v>
      </c>
      <c r="K9" s="10">
        <f>Afskrivninger!J26</f>
        <v>119906.90482302896</v>
      </c>
      <c r="L9" s="10">
        <f>Afskrivninger!K26</f>
        <v>110420.86909957461</v>
      </c>
      <c r="M9" s="10">
        <f>Afskrivninger!L26</f>
        <v>157607.73873463843</v>
      </c>
      <c r="N9" s="10">
        <f>Afskrivninger!M26</f>
        <v>133966.57792444268</v>
      </c>
    </row>
    <row r="10" spans="1:14" ht="12.75">
      <c r="A10" t="s">
        <v>196</v>
      </c>
      <c r="B10" s="10">
        <v>106953</v>
      </c>
      <c r="C10" s="10">
        <f>Afskrivninger!B36</f>
        <v>231041.2</v>
      </c>
      <c r="D10" s="10">
        <f>Afskrivninger!C36</f>
        <v>205129.40000000002</v>
      </c>
      <c r="E10" s="10">
        <f>Afskrivninger!D36</f>
        <v>179217.60000000003</v>
      </c>
      <c r="F10" s="10">
        <f>Afskrivninger!E36</f>
        <v>413305.80000000005</v>
      </c>
      <c r="G10" s="10">
        <f>Afskrivninger!F36</f>
        <v>387394.00000000006</v>
      </c>
      <c r="H10" s="10">
        <f>Afskrivninger!G36</f>
        <v>361482.20000000007</v>
      </c>
      <c r="I10" s="10">
        <f>Afskrivninger!H36</f>
        <v>335570.4000000001</v>
      </c>
      <c r="J10" s="10">
        <f>Afskrivninger!I36</f>
        <v>309658.6000000001</v>
      </c>
      <c r="K10" s="10">
        <f>Afskrivninger!J36</f>
        <v>283746.8000000001</v>
      </c>
      <c r="L10" s="10">
        <f>Afskrivninger!K36</f>
        <v>257835.00000000012</v>
      </c>
      <c r="M10" s="10">
        <f>Afskrivninger!L36</f>
        <v>231923.20000000013</v>
      </c>
      <c r="N10" s="10">
        <f>Afskrivninger!M36</f>
        <v>406011.40000000014</v>
      </c>
    </row>
    <row r="11" spans="1:14" ht="12.75">
      <c r="A11" t="s">
        <v>233</v>
      </c>
      <c r="B11" s="10">
        <v>41667</v>
      </c>
      <c r="C11" s="10">
        <f>Afskrivninger!B44</f>
        <v>33332.666666666664</v>
      </c>
      <c r="D11" s="10">
        <f>Afskrivninger!C44</f>
        <v>24999.33333333333</v>
      </c>
      <c r="E11" s="10">
        <f>Afskrivninger!D44</f>
        <v>16665.999999999993</v>
      </c>
      <c r="F11" s="10">
        <f>Afskrivninger!E44</f>
        <v>8332.666666666659</v>
      </c>
      <c r="G11" s="10">
        <f>Afskrivninger!F44</f>
        <v>59999.33333333332</v>
      </c>
      <c r="H11" s="10">
        <f>Afskrivninger!G44</f>
        <v>51665.999999999985</v>
      </c>
      <c r="I11" s="10">
        <f>Afskrivninger!H44</f>
        <v>43332.66666666665</v>
      </c>
      <c r="J11" s="10">
        <f>Afskrivninger!I44</f>
        <v>34999.333333333314</v>
      </c>
      <c r="K11" s="10">
        <f>Afskrivninger!J44</f>
        <v>26665.999999999978</v>
      </c>
      <c r="L11" s="10">
        <f>Afskrivninger!K44</f>
        <v>18332.666666666642</v>
      </c>
      <c r="M11" s="10">
        <f>Afskrivninger!L44</f>
        <v>79999.33333333331</v>
      </c>
      <c r="N11" s="10">
        <f>Afskrivninger!M44</f>
        <v>71665.99999999999</v>
      </c>
    </row>
    <row r="12" spans="1:14" ht="12.75">
      <c r="A12" t="s">
        <v>111</v>
      </c>
      <c r="B12" s="10">
        <v>153427</v>
      </c>
      <c r="C12" s="10">
        <f>Afskrivninger!B52</f>
        <v>181412.95</v>
      </c>
      <c r="D12" s="10">
        <f>Afskrivninger!C52</f>
        <v>154201.0075</v>
      </c>
      <c r="E12" s="10">
        <f>Afskrivninger!D52</f>
        <v>131070.856375</v>
      </c>
      <c r="F12" s="10">
        <f>Afskrivninger!E52</f>
        <v>153910.22791875</v>
      </c>
      <c r="G12" s="10">
        <f>Afskrivninger!F52</f>
        <v>130823.69373093749</v>
      </c>
      <c r="H12" s="10">
        <f>Afskrivninger!G52</f>
        <v>111200.13967129687</v>
      </c>
      <c r="I12" s="10">
        <f>Afskrivninger!H52</f>
        <v>94520.11872060235</v>
      </c>
      <c r="J12" s="10">
        <f>Afskrivninger!I52</f>
        <v>80342.10091251199</v>
      </c>
      <c r="K12" s="10">
        <f>Afskrivninger!J52</f>
        <v>68290.78577563519</v>
      </c>
      <c r="L12" s="10">
        <f>Afskrivninger!K52</f>
        <v>58047.167909289914</v>
      </c>
      <c r="M12" s="10">
        <f>Afskrivninger!L52</f>
        <v>49340.09272289643</v>
      </c>
      <c r="N12" s="10">
        <f>Afskrivninger!M52</f>
        <v>190689.07881446197</v>
      </c>
    </row>
    <row r="13" spans="1:14" ht="12.75">
      <c r="A13" t="s">
        <v>112</v>
      </c>
      <c r="B13" s="10">
        <v>134529</v>
      </c>
      <c r="C13" s="10">
        <f>Afskrivninger!B60</f>
        <v>145799.65</v>
      </c>
      <c r="D13" s="10">
        <f>Afskrivninger!C60</f>
        <v>123929.7025</v>
      </c>
      <c r="E13" s="10">
        <f>Afskrivninger!D60</f>
        <v>147840.24712500002</v>
      </c>
      <c r="F13" s="10">
        <f>Afskrivninger!E60</f>
        <v>180914.21005625</v>
      </c>
      <c r="G13" s="10">
        <f>Afskrivninger!F60</f>
        <v>153777.0785478125</v>
      </c>
      <c r="H13" s="10">
        <f>Afskrivninger!G60</f>
        <v>130710.51676564063</v>
      </c>
      <c r="I13" s="10">
        <f>Afskrivninger!H60</f>
        <v>111103.93925079453</v>
      </c>
      <c r="J13" s="10">
        <f>Afskrivninger!I60</f>
        <v>94438.34836317535</v>
      </c>
      <c r="K13" s="10">
        <f>Afskrivninger!J60</f>
        <v>80272.59610869904</v>
      </c>
      <c r="L13" s="10">
        <f>Afskrivninger!K60</f>
        <v>68231.70669239419</v>
      </c>
      <c r="M13" s="10">
        <f>Afskrivninger!L60</f>
        <v>57996.950688535064</v>
      </c>
      <c r="N13" s="10">
        <f>Afskrivninger!M60</f>
        <v>151297.4080852548</v>
      </c>
    </row>
    <row r="14" spans="1:14" ht="12.75">
      <c r="A14" t="s">
        <v>113</v>
      </c>
      <c r="B14" s="10">
        <v>26945</v>
      </c>
      <c r="C14" s="10">
        <f>Afskrivninger!B68</f>
        <v>27153.25</v>
      </c>
      <c r="D14" s="10">
        <f>Afskrivninger!C68</f>
        <v>23080.2625</v>
      </c>
      <c r="E14" s="10">
        <f>Afskrivninger!D68</f>
        <v>32368.223124999997</v>
      </c>
      <c r="F14" s="10">
        <f>Afskrivninger!E68</f>
        <v>27512.989656249996</v>
      </c>
      <c r="G14" s="10">
        <f>Afskrivninger!F68</f>
        <v>36136.041207812494</v>
      </c>
      <c r="H14" s="10">
        <f>Afskrivninger!G68</f>
        <v>30715.63502664062</v>
      </c>
      <c r="I14" s="10">
        <f>Afskrivninger!H68</f>
        <v>38858.28977264453</v>
      </c>
      <c r="J14" s="10">
        <f>Afskrivninger!I68</f>
        <v>33029.54630674785</v>
      </c>
      <c r="K14" s="10">
        <f>Afskrivninger!J68</f>
        <v>40825.11436073567</v>
      </c>
      <c r="L14" s="10">
        <f>Afskrivninger!K68</f>
        <v>34701.34720662532</v>
      </c>
      <c r="M14" s="10">
        <f>Afskrivninger!L68</f>
        <v>42246.14512563153</v>
      </c>
      <c r="N14" s="10">
        <f>Afskrivninger!M68</f>
        <v>61409.2233567868</v>
      </c>
    </row>
    <row r="15" spans="1:14" ht="12.75">
      <c r="A15" t="s">
        <v>197</v>
      </c>
      <c r="B15" s="10">
        <v>18874</v>
      </c>
      <c r="C15" s="10">
        <f>Afskrivninger!B78</f>
        <v>16042.9</v>
      </c>
      <c r="D15" s="10">
        <f>Afskrivninger!C78</f>
        <v>17886.465</v>
      </c>
      <c r="E15" s="10">
        <f>Afskrivninger!D78</f>
        <v>15203.49525</v>
      </c>
      <c r="F15" s="10">
        <f>Afskrivninger!E78</f>
        <v>12922.9709625</v>
      </c>
      <c r="G15" s="10">
        <f>Afskrivninger!F78</f>
        <v>10984.525318125</v>
      </c>
      <c r="H15" s="10">
        <f>Afskrivninger!G78</f>
        <v>13586.846520406249</v>
      </c>
      <c r="I15" s="10">
        <f>Afskrivninger!H78</f>
        <v>11548.81954234531</v>
      </c>
      <c r="J15" s="10">
        <f>Afskrivninger!I78</f>
        <v>9816.496610993514</v>
      </c>
      <c r="K15" s="10">
        <f>Afskrivninger!J78</f>
        <v>8344.022119344487</v>
      </c>
      <c r="L15" s="10">
        <f>Afskrivninger!K78</f>
        <v>11342.418801442815</v>
      </c>
      <c r="M15" s="10">
        <f>Afskrivninger!L78</f>
        <v>9641.055981226393</v>
      </c>
      <c r="N15" s="10">
        <f>Afskrivninger!M78</f>
        <v>8194.897584042434</v>
      </c>
    </row>
    <row r="16" spans="1:14" ht="12.75">
      <c r="A16" t="s">
        <v>115</v>
      </c>
      <c r="B16" s="10">
        <v>8500</v>
      </c>
      <c r="C16" s="10">
        <f>Afskrivninger!B86</f>
        <v>7225</v>
      </c>
      <c r="D16" s="10">
        <f>Afskrivninger!C86</f>
        <v>6141.25</v>
      </c>
      <c r="E16" s="10">
        <f>Afskrivninger!D86</f>
        <v>5220.0625</v>
      </c>
      <c r="F16" s="10">
        <f>Afskrivninger!E86</f>
        <v>4437.053125</v>
      </c>
      <c r="G16" s="10">
        <f>Afskrivninger!F86</f>
        <v>3771.4951562500005</v>
      </c>
      <c r="H16" s="10">
        <f>Afskrivninger!G86</f>
        <v>3205.7708828125005</v>
      </c>
      <c r="I16" s="10">
        <f>Afskrivninger!H86</f>
        <v>2724.9052503906255</v>
      </c>
      <c r="J16" s="10">
        <f>Afskrivninger!I86</f>
        <v>2316.1694628320315</v>
      </c>
      <c r="K16" s="10">
        <f>Afskrivninger!J86</f>
        <v>1968.7440434072269</v>
      </c>
      <c r="L16" s="10">
        <f>Afskrivninger!K86</f>
        <v>1673.432436896143</v>
      </c>
      <c r="M16" s="10">
        <f>Afskrivninger!L86</f>
        <v>1422.4175713617215</v>
      </c>
      <c r="N16" s="10">
        <f>Afskrivninger!M86</f>
        <v>1209.0549356574631</v>
      </c>
    </row>
    <row r="17" spans="1:14" ht="12.75">
      <c r="A17" t="s">
        <v>116</v>
      </c>
      <c r="B17" s="10">
        <v>39880</v>
      </c>
      <c r="C17" s="10">
        <f>Afskrivninger!B94</f>
        <v>33899.7</v>
      </c>
      <c r="D17" s="10">
        <f>Afskrivninger!C94</f>
        <v>28814.745</v>
      </c>
      <c r="E17" s="10">
        <f>Afskrivninger!D94</f>
        <v>32992.53324999999</v>
      </c>
      <c r="F17" s="10">
        <f>Afskrivninger!E94</f>
        <v>28043.653262499996</v>
      </c>
      <c r="G17" s="10">
        <f>Afskrivninger!F94</f>
        <v>23837.105273125</v>
      </c>
      <c r="H17" s="10">
        <f>Afskrivninger!G94</f>
        <v>28761.539482156244</v>
      </c>
      <c r="I17" s="10">
        <f>Afskrivninger!H94</f>
        <v>24447.308559832807</v>
      </c>
      <c r="J17" s="10">
        <f>Afskrivninger!I94</f>
        <v>20780.212275857884</v>
      </c>
      <c r="K17" s="10">
        <f>Afskrivninger!J94</f>
        <v>26163.180434479204</v>
      </c>
      <c r="L17" s="10">
        <f>Afskrivninger!K94</f>
        <v>22238.703369307324</v>
      </c>
      <c r="M17" s="10">
        <f>Afskrivninger!L94</f>
        <v>18902.897863911225</v>
      </c>
      <c r="N17" s="10">
        <f>Afskrivninger!M94</f>
        <v>24567.46318432454</v>
      </c>
    </row>
    <row r="18" spans="1:14" ht="13.5" thickBot="1">
      <c r="A18" s="1" t="s">
        <v>198</v>
      </c>
      <c r="B18" s="14">
        <v>52240</v>
      </c>
      <c r="C18" s="14">
        <f>Afskrivninger!B102</f>
        <v>52240</v>
      </c>
      <c r="D18" s="14">
        <f>Afskrivninger!C102</f>
        <v>52240</v>
      </c>
      <c r="E18" s="14">
        <f>Afskrivninger!D102</f>
        <v>52240</v>
      </c>
      <c r="F18" s="14">
        <f>Afskrivninger!E102</f>
        <v>52240</v>
      </c>
      <c r="G18" s="14">
        <f>Afskrivninger!F102</f>
        <v>52240</v>
      </c>
      <c r="H18" s="14">
        <f>Afskrivninger!G102</f>
        <v>52240</v>
      </c>
      <c r="I18" s="14">
        <f>Afskrivninger!H102</f>
        <v>52240</v>
      </c>
      <c r="J18" s="14">
        <f>Afskrivninger!I102</f>
        <v>52240</v>
      </c>
      <c r="K18" s="14">
        <f>Afskrivninger!J102</f>
        <v>52240</v>
      </c>
      <c r="L18" s="14">
        <f>Afskrivninger!K102</f>
        <v>52240</v>
      </c>
      <c r="M18" s="14">
        <f>Afskrivninger!L102</f>
        <v>52240</v>
      </c>
      <c r="N18" s="14">
        <f>Afskrivninger!M102</f>
        <v>52240</v>
      </c>
    </row>
    <row r="19" spans="1:14" ht="12.75">
      <c r="A19" t="s">
        <v>201</v>
      </c>
      <c r="B19" s="10">
        <f>SUM(B5:B18)</f>
        <v>4483760</v>
      </c>
      <c r="C19" s="10">
        <f aca="true" t="shared" si="0" ref="C19:N19">SUM(C5:C18)</f>
        <v>4493358.666666668</v>
      </c>
      <c r="D19" s="10">
        <f t="shared" si="0"/>
        <v>4327379.913333333</v>
      </c>
      <c r="E19" s="10">
        <f t="shared" si="0"/>
        <v>4324661.203</v>
      </c>
      <c r="F19" s="10">
        <f t="shared" si="0"/>
        <v>4808713.529216666</v>
      </c>
      <c r="G19" s="10">
        <f t="shared" si="0"/>
        <v>4740521.236500833</v>
      </c>
      <c r="H19" s="10">
        <f t="shared" si="0"/>
        <v>4665671.017692374</v>
      </c>
      <c r="I19" s="10">
        <f t="shared" si="0"/>
        <v>4517161.561705186</v>
      </c>
      <c r="J19" s="10">
        <f t="shared" si="0"/>
        <v>4465541.754116074</v>
      </c>
      <c r="K19" s="10">
        <f t="shared" si="0"/>
        <v>4345278.14766533</v>
      </c>
      <c r="L19" s="10">
        <f t="shared" si="0"/>
        <v>4221917.312182196</v>
      </c>
      <c r="M19" s="10">
        <f t="shared" si="0"/>
        <v>4238173.832021534</v>
      </c>
      <c r="N19" s="10">
        <f t="shared" si="0"/>
        <v>5688105.103884971</v>
      </c>
    </row>
    <row r="21" ht="12.75">
      <c r="A21" s="9" t="s">
        <v>202</v>
      </c>
    </row>
    <row r="22" spans="1:14" ht="12.75">
      <c r="A22" t="s">
        <v>203</v>
      </c>
      <c r="B22" s="10">
        <v>4542321</v>
      </c>
      <c r="C22" s="10">
        <f>B25</f>
        <v>4657441</v>
      </c>
      <c r="D22" s="10">
        <f aca="true" t="shared" si="1" ref="D22:N22">C25</f>
        <v>4630357.8001666665</v>
      </c>
      <c r="E22" s="10">
        <f t="shared" si="1"/>
        <v>4567049.251438333</v>
      </c>
      <c r="F22" s="10">
        <f t="shared" si="1"/>
        <v>4517149.15906115</v>
      </c>
      <c r="G22" s="10">
        <f t="shared" si="1"/>
        <v>4460102.9874020405</v>
      </c>
      <c r="H22" s="10">
        <f t="shared" si="1"/>
        <v>4404736.89978443</v>
      </c>
      <c r="I22" s="10">
        <f t="shared" si="1"/>
        <v>4353589.925650721</v>
      </c>
      <c r="J22" s="10">
        <f t="shared" si="1"/>
        <v>4325116.422692171</v>
      </c>
      <c r="K22" s="10">
        <f t="shared" si="1"/>
        <v>4317955.860315895</v>
      </c>
      <c r="L22" s="10">
        <f t="shared" si="1"/>
        <v>4329596.876622488</v>
      </c>
      <c r="M22" s="10">
        <f t="shared" si="1"/>
        <v>4358272.356149932</v>
      </c>
      <c r="N22" s="10">
        <f t="shared" si="1"/>
        <v>4397755.424920389</v>
      </c>
    </row>
    <row r="23" spans="1:14" ht="12.75">
      <c r="A23" t="s">
        <v>204</v>
      </c>
      <c r="B23" s="10">
        <v>85615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2.75">
      <c r="A24" t="s">
        <v>102</v>
      </c>
      <c r="B24" s="10">
        <f>Hovedtal!B35</f>
        <v>29505</v>
      </c>
      <c r="C24" s="10">
        <f>Hovedtal!C35</f>
        <v>-27083.199833333347</v>
      </c>
      <c r="D24" s="10">
        <f>Hovedtal!D35</f>
        <v>-63308.54872833344</v>
      </c>
      <c r="E24" s="10">
        <f>Hovedtal!E35</f>
        <v>-49900.09237718333</v>
      </c>
      <c r="F24" s="10">
        <f>Hovedtal!F35</f>
        <v>-57046.17165910873</v>
      </c>
      <c r="G24" s="10">
        <f>Hovedtal!G35</f>
        <v>-55366.08761761038</v>
      </c>
      <c r="H24" s="10">
        <f>Hovedtal!H35</f>
        <v>-51146.97413370888</v>
      </c>
      <c r="I24" s="10">
        <f>Hovedtal!I35</f>
        <v>-28473.502958550234</v>
      </c>
      <c r="J24" s="10">
        <f>Hovedtal!J35</f>
        <v>-7160.562376276386</v>
      </c>
      <c r="K24" s="10">
        <f>Hovedtal!K35</f>
        <v>11641.016306593316</v>
      </c>
      <c r="L24" s="10">
        <f>Hovedtal!L35</f>
        <v>28675.479527444404</v>
      </c>
      <c r="M24" s="10">
        <f>Hovedtal!M35</f>
        <v>39483.068770456855</v>
      </c>
      <c r="N24" s="10">
        <f>Hovedtal!N35</f>
        <v>-24591.345214103436</v>
      </c>
    </row>
    <row r="25" spans="1:14" ht="12.75">
      <c r="A25" t="s">
        <v>205</v>
      </c>
      <c r="B25" s="10">
        <f>SUM(B22:B24)</f>
        <v>4657441</v>
      </c>
      <c r="C25" s="10">
        <f aca="true" t="shared" si="2" ref="C25:N25">SUM(C22:C24)</f>
        <v>4630357.8001666665</v>
      </c>
      <c r="D25" s="10">
        <f t="shared" si="2"/>
        <v>4567049.251438333</v>
      </c>
      <c r="E25" s="10">
        <f t="shared" si="2"/>
        <v>4517149.15906115</v>
      </c>
      <c r="F25" s="10">
        <f t="shared" si="2"/>
        <v>4460102.9874020405</v>
      </c>
      <c r="G25" s="10">
        <f t="shared" si="2"/>
        <v>4404736.89978443</v>
      </c>
      <c r="H25" s="10">
        <f t="shared" si="2"/>
        <v>4353589.925650721</v>
      </c>
      <c r="I25" s="10">
        <f t="shared" si="2"/>
        <v>4325116.422692171</v>
      </c>
      <c r="J25" s="10">
        <f t="shared" si="2"/>
        <v>4317955.860315895</v>
      </c>
      <c r="K25" s="10">
        <f t="shared" si="2"/>
        <v>4329596.876622488</v>
      </c>
      <c r="L25" s="10">
        <f t="shared" si="2"/>
        <v>4358272.356149932</v>
      </c>
      <c r="M25" s="10">
        <f t="shared" si="2"/>
        <v>4397755.424920389</v>
      </c>
      <c r="N25" s="10">
        <f t="shared" si="2"/>
        <v>4373164.079706286</v>
      </c>
    </row>
    <row r="26" spans="1:14" ht="12.75">
      <c r="A26" t="s">
        <v>193</v>
      </c>
      <c r="B26" s="10">
        <v>-263751</v>
      </c>
      <c r="C26" s="10">
        <f>B26-Hovedtal!C13+Hovedtal!C22-Hovedtal!C25+Investeringsplan!B125-Aktivsalg!B126</f>
        <v>-227070.1335</v>
      </c>
      <c r="D26" s="10">
        <f>C26-Hovedtal!D13+Hovedtal!D22-Hovedtal!D25+Investeringsplan!C125-Aktivsalg!C126</f>
        <v>-329740.33810499986</v>
      </c>
      <c r="E26" s="10">
        <f>D26-Hovedtal!E13+Hovedtal!E22-Hovedtal!E25+Investeringsplan!D125-Aktivsalg!D126</f>
        <v>-282558.95606114983</v>
      </c>
      <c r="F26" s="10">
        <f>E26-Hovedtal!F13+Hovedtal!F22-Hovedtal!F25+Investeringsplan!E125-Aktivsalg!E126</f>
        <v>258539.54181462555</v>
      </c>
      <c r="G26" s="10">
        <f>F26-Hovedtal!G13+Hovedtal!G22-Hovedtal!G25+Investeringsplan!F125-Aktivsalg!F126</f>
        <v>245713.3367164026</v>
      </c>
      <c r="H26" s="10">
        <f>G26-Hovedtal!H13+Hovedtal!H22-Hovedtal!H25+Investeringsplan!G125-Aktivsalg!G126</f>
        <v>222010.09204165317</v>
      </c>
      <c r="I26" s="10">
        <f>H26-Hovedtal!I13+Hovedtal!I22-Hovedtal!I25+Investeringsplan!H125-Aktivsalg!H126</f>
        <v>101974.13901301386</v>
      </c>
      <c r="J26" s="10">
        <f>I26-Hovedtal!J13+Hovedtal!J22-Hovedtal!J25+Investeringsplan!I125-Aktivsalg!I126</f>
        <v>57514.89380017914</v>
      </c>
      <c r="K26" s="10">
        <f>J26-Hovedtal!K13+Hovedtal!K22-Hovedtal!K25+Investeringsplan!J125-Aktivsalg!J126</f>
        <v>-74389.72895715863</v>
      </c>
      <c r="L26" s="10">
        <f>K26-Hovedtal!L13+Hovedtal!L22-Hovedtal!L25+Investeringsplan!K125-Aktivsalg!K126</f>
        <v>-226426.04396773584</v>
      </c>
      <c r="M26" s="10">
        <f>L26-Hovedtal!M13+Hovedtal!M22-Hovedtal!M25+Investeringsplan!L125-Aktivsalg!L126</f>
        <v>-249652.59289885557</v>
      </c>
      <c r="N26" s="10">
        <f>M26-Hovedtal!N13+Hovedtal!N22-Hovedtal!N25+Investeringsplan!M125-Aktivsalg!M126</f>
        <v>1224870.0241786845</v>
      </c>
    </row>
    <row r="27" spans="1:14" ht="12.75">
      <c r="A27" t="s">
        <v>206</v>
      </c>
      <c r="B27" s="10">
        <v>33635</v>
      </c>
      <c r="C27" s="10">
        <v>33635</v>
      </c>
      <c r="D27" s="10">
        <v>33635</v>
      </c>
      <c r="E27" s="10">
        <v>33635</v>
      </c>
      <c r="F27" s="10">
        <v>33635</v>
      </c>
      <c r="G27" s="10">
        <v>33635</v>
      </c>
      <c r="H27" s="10">
        <v>33635</v>
      </c>
      <c r="I27" s="10">
        <v>33635</v>
      </c>
      <c r="J27" s="10">
        <v>33635</v>
      </c>
      <c r="K27" s="10">
        <v>33635</v>
      </c>
      <c r="L27" s="10">
        <v>33635</v>
      </c>
      <c r="M27" s="10">
        <v>33635</v>
      </c>
      <c r="N27" s="10">
        <v>33635</v>
      </c>
    </row>
    <row r="28" spans="1:14" ht="12.75">
      <c r="A28" t="s">
        <v>207</v>
      </c>
      <c r="B28" s="10">
        <v>0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ht="12.75">
      <c r="A29" t="s">
        <v>208</v>
      </c>
      <c r="B29" s="10">
        <v>-3565</v>
      </c>
      <c r="C29" s="10">
        <v>-3565</v>
      </c>
      <c r="D29" s="10">
        <v>-3565</v>
      </c>
      <c r="E29" s="10">
        <v>-3565</v>
      </c>
      <c r="F29" s="10">
        <v>-3565</v>
      </c>
      <c r="G29" s="10">
        <v>-3565</v>
      </c>
      <c r="H29" s="10">
        <v>-3565</v>
      </c>
      <c r="I29" s="10">
        <v>-3565</v>
      </c>
      <c r="J29" s="10">
        <v>-3565</v>
      </c>
      <c r="K29" s="10">
        <v>-3565</v>
      </c>
      <c r="L29" s="10">
        <v>-3565</v>
      </c>
      <c r="M29" s="10">
        <v>-3565</v>
      </c>
      <c r="N29" s="10">
        <v>-3565</v>
      </c>
    </row>
    <row r="30" spans="1:14" ht="12.75">
      <c r="A30" t="s">
        <v>209</v>
      </c>
      <c r="B30" s="10">
        <v>1200</v>
      </c>
      <c r="C30" s="10">
        <v>1200</v>
      </c>
      <c r="D30" s="10">
        <v>1200</v>
      </c>
      <c r="E30" s="10">
        <v>1200</v>
      </c>
      <c r="F30" s="10">
        <v>1200</v>
      </c>
      <c r="G30" s="10">
        <v>1200</v>
      </c>
      <c r="H30" s="10">
        <v>1200</v>
      </c>
      <c r="I30" s="10">
        <v>1200</v>
      </c>
      <c r="J30" s="10">
        <v>1200</v>
      </c>
      <c r="K30" s="10">
        <v>1200</v>
      </c>
      <c r="L30" s="10">
        <v>1200</v>
      </c>
      <c r="M30" s="10">
        <v>1200</v>
      </c>
      <c r="N30" s="10">
        <v>1200</v>
      </c>
    </row>
    <row r="31" spans="1:14" ht="13.5" thickBot="1">
      <c r="A31" s="1" t="s">
        <v>210</v>
      </c>
      <c r="B31" s="14">
        <v>58800</v>
      </c>
      <c r="C31" s="14">
        <v>58800</v>
      </c>
      <c r="D31" s="14">
        <v>58800</v>
      </c>
      <c r="E31" s="14">
        <v>58800</v>
      </c>
      <c r="F31" s="14">
        <v>58800</v>
      </c>
      <c r="G31" s="14">
        <v>58800</v>
      </c>
      <c r="H31" s="14">
        <v>58800</v>
      </c>
      <c r="I31" s="14">
        <v>58800</v>
      </c>
      <c r="J31" s="14">
        <v>58800</v>
      </c>
      <c r="K31" s="14">
        <v>58800</v>
      </c>
      <c r="L31" s="14">
        <v>58800</v>
      </c>
      <c r="M31" s="14">
        <v>58800</v>
      </c>
      <c r="N31" s="14">
        <v>58800</v>
      </c>
    </row>
    <row r="32" spans="1:14" ht="12.75">
      <c r="A32" t="s">
        <v>200</v>
      </c>
      <c r="B32" s="10">
        <f>SUM(B25:B31)</f>
        <v>4483760</v>
      </c>
      <c r="C32" s="10">
        <f aca="true" t="shared" si="3" ref="C32:N32">SUM(C25:C31)</f>
        <v>4493357.666666666</v>
      </c>
      <c r="D32" s="10">
        <f t="shared" si="3"/>
        <v>4327378.913333333</v>
      </c>
      <c r="E32" s="10">
        <f t="shared" si="3"/>
        <v>4324660.203</v>
      </c>
      <c r="F32" s="10">
        <f t="shared" si="3"/>
        <v>4808712.529216666</v>
      </c>
      <c r="G32" s="10">
        <f t="shared" si="3"/>
        <v>4740520.236500832</v>
      </c>
      <c r="H32" s="10">
        <f t="shared" si="3"/>
        <v>4665670.017692375</v>
      </c>
      <c r="I32" s="10">
        <f t="shared" si="3"/>
        <v>4517160.561705185</v>
      </c>
      <c r="J32" s="10">
        <f t="shared" si="3"/>
        <v>4465540.754116074</v>
      </c>
      <c r="K32" s="10">
        <f t="shared" si="3"/>
        <v>4345277.147665329</v>
      </c>
      <c r="L32" s="10">
        <f t="shared" si="3"/>
        <v>4221916.312182196</v>
      </c>
      <c r="M32" s="10">
        <f t="shared" si="3"/>
        <v>4238172.832021534</v>
      </c>
      <c r="N32" s="10">
        <f t="shared" si="3"/>
        <v>5688104.103884971</v>
      </c>
    </row>
    <row r="33" spans="2:14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2:14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L19" sqref="L19:M19"/>
    </sheetView>
  </sheetViews>
  <sheetFormatPr defaultColWidth="9.140625" defaultRowHeight="12.75"/>
  <cols>
    <col min="1" max="1" width="27.28125" style="0" customWidth="1"/>
  </cols>
  <sheetData>
    <row r="1" spans="1:2" ht="13.5" thickBot="1">
      <c r="A1" s="28" t="s">
        <v>0</v>
      </c>
      <c r="B1" s="28"/>
    </row>
    <row r="2" ht="13.5" thickBot="1"/>
    <row r="3" spans="2:13" ht="13.5" thickBot="1">
      <c r="B3" s="6">
        <v>2009</v>
      </c>
      <c r="C3" s="7">
        <v>2010</v>
      </c>
      <c r="D3" s="7">
        <v>2011</v>
      </c>
      <c r="E3" s="7">
        <v>2012</v>
      </c>
      <c r="F3" s="7">
        <v>2013</v>
      </c>
      <c r="G3" s="7">
        <v>2014</v>
      </c>
      <c r="H3" s="7">
        <v>2015</v>
      </c>
      <c r="I3" s="7">
        <v>2016</v>
      </c>
      <c r="J3" s="7">
        <v>2017</v>
      </c>
      <c r="K3" s="7">
        <v>2018</v>
      </c>
      <c r="L3" s="7">
        <v>2019</v>
      </c>
      <c r="M3" s="8">
        <v>2020</v>
      </c>
    </row>
    <row r="5" spans="1:13" ht="12.75">
      <c r="A5" t="s">
        <v>1</v>
      </c>
      <c r="B5" s="4">
        <v>0.03</v>
      </c>
      <c r="C5" s="4">
        <v>0.03</v>
      </c>
      <c r="D5" s="4">
        <v>0.03</v>
      </c>
      <c r="E5" s="4">
        <v>0.03</v>
      </c>
      <c r="F5" s="4">
        <v>0.03</v>
      </c>
      <c r="G5" s="4">
        <v>0.03</v>
      </c>
      <c r="H5" s="4">
        <v>0.03</v>
      </c>
      <c r="I5" s="4">
        <v>0.03</v>
      </c>
      <c r="J5" s="4">
        <v>0.03</v>
      </c>
      <c r="K5" s="4">
        <v>0.03</v>
      </c>
      <c r="L5" s="4">
        <v>0.03</v>
      </c>
      <c r="M5" s="4">
        <v>0.03</v>
      </c>
    </row>
    <row r="7" spans="1:13" ht="12.75">
      <c r="A7" t="s">
        <v>2</v>
      </c>
      <c r="B7" s="4">
        <v>0.03</v>
      </c>
      <c r="C7" s="4">
        <v>0.03</v>
      </c>
      <c r="D7" s="4">
        <v>0.03</v>
      </c>
      <c r="E7" s="4">
        <v>0.03</v>
      </c>
      <c r="F7" s="4">
        <v>0.03</v>
      </c>
      <c r="G7" s="4">
        <v>0.03</v>
      </c>
      <c r="H7" s="4">
        <v>0.03</v>
      </c>
      <c r="I7" s="4">
        <v>0.03</v>
      </c>
      <c r="J7" s="4">
        <v>0.03</v>
      </c>
      <c r="K7" s="4">
        <v>0.03</v>
      </c>
      <c r="L7" s="4">
        <v>0.03</v>
      </c>
      <c r="M7" s="4">
        <v>0.03</v>
      </c>
    </row>
    <row r="9" spans="1:13" ht="12.75">
      <c r="A9" t="s">
        <v>3</v>
      </c>
      <c r="B9" s="4">
        <v>0.09</v>
      </c>
      <c r="C9" s="4">
        <v>0.09</v>
      </c>
      <c r="D9" s="4">
        <v>0.09</v>
      </c>
      <c r="E9" s="4">
        <v>0.09</v>
      </c>
      <c r="F9" s="4">
        <v>0.09</v>
      </c>
      <c r="G9" s="4">
        <v>0.09</v>
      </c>
      <c r="H9" s="4">
        <v>0.09</v>
      </c>
      <c r="I9" s="4">
        <v>0.09</v>
      </c>
      <c r="J9" s="4">
        <v>0.09</v>
      </c>
      <c r="K9" s="4">
        <v>0.09</v>
      </c>
      <c r="L9" s="4">
        <v>0.09</v>
      </c>
      <c r="M9" s="4">
        <v>0.09</v>
      </c>
    </row>
    <row r="10" spans="2:13" ht="12.7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2.75">
      <c r="A11" t="s">
        <v>153</v>
      </c>
      <c r="B11" s="17">
        <v>0.0265</v>
      </c>
      <c r="C11" s="17">
        <v>0.0265</v>
      </c>
      <c r="D11" s="17">
        <v>0.0265</v>
      </c>
      <c r="E11" s="17">
        <v>0.0265</v>
      </c>
      <c r="F11" s="17">
        <v>0.0265</v>
      </c>
      <c r="G11" s="17">
        <v>0.0265</v>
      </c>
      <c r="H11" s="17">
        <v>0.0265</v>
      </c>
      <c r="I11" s="17">
        <v>0.0265</v>
      </c>
      <c r="J11" s="17">
        <v>0.0265</v>
      </c>
      <c r="K11" s="17">
        <v>0.0265</v>
      </c>
      <c r="L11" s="17">
        <v>0.0265</v>
      </c>
      <c r="M11" s="17">
        <v>0.0265</v>
      </c>
    </row>
    <row r="13" spans="1:13" ht="12.75">
      <c r="A13" t="s">
        <v>44</v>
      </c>
      <c r="B13" s="4">
        <v>0.15</v>
      </c>
      <c r="C13" s="4">
        <v>0.15</v>
      </c>
      <c r="D13" s="4">
        <v>0.15</v>
      </c>
      <c r="E13" s="4">
        <v>0.15</v>
      </c>
      <c r="F13" s="4">
        <v>0.15</v>
      </c>
      <c r="G13" s="4">
        <v>0.15</v>
      </c>
      <c r="H13" s="4">
        <v>0.15</v>
      </c>
      <c r="I13" s="4">
        <v>0.15</v>
      </c>
      <c r="J13" s="4">
        <v>0.15</v>
      </c>
      <c r="K13" s="4">
        <v>0.15</v>
      </c>
      <c r="L13" s="4">
        <v>0.15</v>
      </c>
      <c r="M13" s="4">
        <v>0.15</v>
      </c>
    </row>
    <row r="14" spans="1:13" ht="12.75">
      <c r="A14" t="s">
        <v>45</v>
      </c>
      <c r="B14" s="4">
        <v>0.15</v>
      </c>
      <c r="C14" s="4">
        <v>0.15</v>
      </c>
      <c r="D14" s="4">
        <v>0.15</v>
      </c>
      <c r="E14" s="4">
        <v>0.15</v>
      </c>
      <c r="F14" s="4">
        <v>0.15</v>
      </c>
      <c r="G14" s="4">
        <v>0.15</v>
      </c>
      <c r="H14" s="4">
        <v>0.15</v>
      </c>
      <c r="I14" s="4">
        <v>0.15</v>
      </c>
      <c r="J14" s="4">
        <v>0.15</v>
      </c>
      <c r="K14" s="4">
        <v>0.15</v>
      </c>
      <c r="L14" s="4">
        <v>0.15</v>
      </c>
      <c r="M14" s="4">
        <v>0.15</v>
      </c>
    </row>
    <row r="15" spans="1:13" ht="12.75">
      <c r="A15" t="s">
        <v>46</v>
      </c>
      <c r="B15" s="4">
        <v>0.15</v>
      </c>
      <c r="C15" s="4">
        <v>0.15</v>
      </c>
      <c r="D15" s="4">
        <v>0.15</v>
      </c>
      <c r="E15" s="4">
        <v>0.15</v>
      </c>
      <c r="F15" s="4">
        <v>0.15</v>
      </c>
      <c r="G15" s="4">
        <v>0.15</v>
      </c>
      <c r="H15" s="4">
        <v>0.15</v>
      </c>
      <c r="I15" s="4">
        <v>0.15</v>
      </c>
      <c r="J15" s="4">
        <v>0.15</v>
      </c>
      <c r="K15" s="4">
        <v>0.15</v>
      </c>
      <c r="L15" s="4">
        <v>0.15</v>
      </c>
      <c r="M15" s="4">
        <v>0.15</v>
      </c>
    </row>
    <row r="16" spans="1:13" ht="12.75">
      <c r="A16" t="s">
        <v>47</v>
      </c>
      <c r="B16" s="4">
        <v>0.15</v>
      </c>
      <c r="C16" s="4">
        <v>0.15</v>
      </c>
      <c r="D16" s="4">
        <v>0.15</v>
      </c>
      <c r="E16" s="4">
        <v>0.15</v>
      </c>
      <c r="F16" s="4">
        <v>0.15</v>
      </c>
      <c r="G16" s="4">
        <v>0.15</v>
      </c>
      <c r="H16" s="4">
        <v>0.15</v>
      </c>
      <c r="I16" s="4">
        <v>0.15</v>
      </c>
      <c r="J16" s="4">
        <v>0.15</v>
      </c>
      <c r="K16" s="4">
        <v>0.15</v>
      </c>
      <c r="L16" s="4">
        <v>0.15</v>
      </c>
      <c r="M16" s="4">
        <v>0.15</v>
      </c>
    </row>
    <row r="17" spans="1:13" ht="12.75">
      <c r="A17" t="s">
        <v>118</v>
      </c>
      <c r="B17" s="4">
        <v>0.15</v>
      </c>
      <c r="C17" s="4">
        <v>0.15</v>
      </c>
      <c r="D17" s="4">
        <v>0.15</v>
      </c>
      <c r="E17" s="4">
        <v>0.15</v>
      </c>
      <c r="F17" s="4">
        <v>0.15</v>
      </c>
      <c r="G17" s="4">
        <v>0.15</v>
      </c>
      <c r="H17" s="4">
        <v>0.15</v>
      </c>
      <c r="I17" s="4">
        <v>0.15</v>
      </c>
      <c r="J17" s="4">
        <v>0.15</v>
      </c>
      <c r="K17" s="4">
        <v>0.15</v>
      </c>
      <c r="L17" s="4">
        <v>0.15</v>
      </c>
      <c r="M17" s="4">
        <v>0.15</v>
      </c>
    </row>
    <row r="18" spans="1:13" ht="12.75">
      <c r="A18" t="s">
        <v>119</v>
      </c>
      <c r="B18" s="4">
        <v>0.15</v>
      </c>
      <c r="C18" s="4">
        <v>0.15</v>
      </c>
      <c r="D18" s="4">
        <v>0.15</v>
      </c>
      <c r="E18" s="4">
        <v>0.15</v>
      </c>
      <c r="F18" s="4">
        <v>0.15</v>
      </c>
      <c r="G18" s="4">
        <v>0.15</v>
      </c>
      <c r="H18" s="4">
        <v>0.15</v>
      </c>
      <c r="I18" s="4">
        <v>0.15</v>
      </c>
      <c r="J18" s="4">
        <v>0.15</v>
      </c>
      <c r="K18" s="4">
        <v>0.15</v>
      </c>
      <c r="L18" s="4">
        <v>0.15</v>
      </c>
      <c r="M18" s="4">
        <v>0.15</v>
      </c>
    </row>
    <row r="19" spans="1:13" ht="12.75">
      <c r="A19" t="s">
        <v>56</v>
      </c>
      <c r="B19" s="19">
        <v>170</v>
      </c>
      <c r="C19" s="19">
        <v>170</v>
      </c>
      <c r="D19" s="19">
        <v>170</v>
      </c>
      <c r="E19" s="19">
        <v>170</v>
      </c>
      <c r="F19" s="19">
        <v>170</v>
      </c>
      <c r="G19" s="19">
        <v>170</v>
      </c>
      <c r="H19" s="19">
        <v>170</v>
      </c>
      <c r="I19" s="19">
        <v>170</v>
      </c>
      <c r="J19" s="19">
        <v>170</v>
      </c>
      <c r="K19" s="19">
        <v>170</v>
      </c>
      <c r="L19" s="19">
        <v>170</v>
      </c>
      <c r="M19" s="19">
        <v>170</v>
      </c>
    </row>
    <row r="20" spans="1:13" ht="12.75">
      <c r="A20" t="s">
        <v>57</v>
      </c>
      <c r="B20" s="19">
        <v>60</v>
      </c>
      <c r="C20" s="19">
        <v>60</v>
      </c>
      <c r="D20" s="19">
        <v>60</v>
      </c>
      <c r="E20" s="19">
        <v>60</v>
      </c>
      <c r="F20" s="19">
        <v>60</v>
      </c>
      <c r="G20" s="19">
        <v>60</v>
      </c>
      <c r="H20" s="19">
        <v>60</v>
      </c>
      <c r="I20" s="19">
        <v>60</v>
      </c>
      <c r="J20" s="19">
        <v>60</v>
      </c>
      <c r="K20" s="19">
        <v>60</v>
      </c>
      <c r="L20" s="19">
        <v>60</v>
      </c>
      <c r="M20" s="19">
        <v>60</v>
      </c>
    </row>
    <row r="21" spans="1:13" ht="12.75">
      <c r="A21" t="s">
        <v>225</v>
      </c>
      <c r="B21" s="19">
        <v>50</v>
      </c>
      <c r="C21" s="19">
        <v>50</v>
      </c>
      <c r="D21" s="19">
        <v>50</v>
      </c>
      <c r="E21" s="19">
        <v>50</v>
      </c>
      <c r="F21" s="19">
        <v>50</v>
      </c>
      <c r="G21" s="19">
        <v>50</v>
      </c>
      <c r="H21" s="19">
        <v>50</v>
      </c>
      <c r="I21" s="19">
        <v>50</v>
      </c>
      <c r="J21" s="19">
        <v>50</v>
      </c>
      <c r="K21" s="19">
        <v>50</v>
      </c>
      <c r="L21" s="19">
        <v>50</v>
      </c>
      <c r="M21" s="19">
        <v>50</v>
      </c>
    </row>
    <row r="22" spans="1:13" ht="12.75">
      <c r="A22" t="s">
        <v>226</v>
      </c>
      <c r="B22" s="19">
        <v>75</v>
      </c>
      <c r="C22" s="19">
        <v>75</v>
      </c>
      <c r="D22" s="19">
        <v>75</v>
      </c>
      <c r="E22" s="19">
        <v>75</v>
      </c>
      <c r="F22" s="19">
        <v>75</v>
      </c>
      <c r="G22" s="19">
        <v>75</v>
      </c>
      <c r="H22" s="19">
        <v>75</v>
      </c>
      <c r="I22" s="19">
        <v>75</v>
      </c>
      <c r="J22" s="19">
        <v>75</v>
      </c>
      <c r="K22" s="19">
        <v>75</v>
      </c>
      <c r="L22" s="19">
        <v>75</v>
      </c>
      <c r="M22" s="19">
        <v>75</v>
      </c>
    </row>
    <row r="23" spans="2:13" ht="12.75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2.75">
      <c r="A24" t="s">
        <v>219</v>
      </c>
      <c r="B24" s="19">
        <v>305</v>
      </c>
      <c r="C24" s="19">
        <f>B24+B24*C5</f>
        <v>314.15</v>
      </c>
      <c r="D24" s="19">
        <f aca="true" t="shared" si="0" ref="D24:M24">C24+C24*D5</f>
        <v>323.5745</v>
      </c>
      <c r="E24" s="19">
        <f t="shared" si="0"/>
        <v>333.281735</v>
      </c>
      <c r="F24" s="19">
        <f t="shared" si="0"/>
        <v>343.28018705000005</v>
      </c>
      <c r="G24" s="19">
        <f t="shared" si="0"/>
        <v>353.57859266150007</v>
      </c>
      <c r="H24" s="19">
        <f t="shared" si="0"/>
        <v>364.1859504413451</v>
      </c>
      <c r="I24" s="19">
        <f t="shared" si="0"/>
        <v>375.1115289545854</v>
      </c>
      <c r="J24" s="19">
        <f t="shared" si="0"/>
        <v>386.364874823223</v>
      </c>
      <c r="K24" s="19">
        <f t="shared" si="0"/>
        <v>397.95582106791966</v>
      </c>
      <c r="L24" s="19">
        <f t="shared" si="0"/>
        <v>409.89449569995725</v>
      </c>
      <c r="M24" s="19">
        <f t="shared" si="0"/>
        <v>422.191330570956</v>
      </c>
    </row>
    <row r="25" spans="1:13" ht="12.75">
      <c r="A25" t="s">
        <v>221</v>
      </c>
      <c r="B25" s="19">
        <v>380</v>
      </c>
      <c r="C25" s="19">
        <f>B25+B25*C5</f>
        <v>391.4</v>
      </c>
      <c r="D25" s="19">
        <f aca="true" t="shared" si="1" ref="D25:M25">C25+C25*D5</f>
        <v>403.142</v>
      </c>
      <c r="E25" s="19">
        <f t="shared" si="1"/>
        <v>415.23626</v>
      </c>
      <c r="F25" s="19">
        <f t="shared" si="1"/>
        <v>427.6933478</v>
      </c>
      <c r="G25" s="19">
        <f t="shared" si="1"/>
        <v>440.52414823400005</v>
      </c>
      <c r="H25" s="19">
        <f t="shared" si="1"/>
        <v>453.7398726810201</v>
      </c>
      <c r="I25" s="19">
        <f t="shared" si="1"/>
        <v>467.3520688614507</v>
      </c>
      <c r="J25" s="19">
        <f t="shared" si="1"/>
        <v>481.3726309272942</v>
      </c>
      <c r="K25" s="19">
        <f t="shared" si="1"/>
        <v>495.81380985511305</v>
      </c>
      <c r="L25" s="19">
        <f t="shared" si="1"/>
        <v>510.6882241507664</v>
      </c>
      <c r="M25" s="19">
        <f t="shared" si="1"/>
        <v>526.0088708752894</v>
      </c>
    </row>
    <row r="26" spans="1:13" ht="12.75">
      <c r="A26" t="s">
        <v>227</v>
      </c>
      <c r="B26" s="19">
        <v>125</v>
      </c>
      <c r="C26" s="19">
        <f>B26+B26*C5</f>
        <v>128.75</v>
      </c>
      <c r="D26" s="19">
        <f aca="true" t="shared" si="2" ref="D26:M26">C26+C26*D5</f>
        <v>132.6125</v>
      </c>
      <c r="E26" s="19">
        <f t="shared" si="2"/>
        <v>136.590875</v>
      </c>
      <c r="F26" s="19">
        <f t="shared" si="2"/>
        <v>140.68860125</v>
      </c>
      <c r="G26" s="19">
        <f t="shared" si="2"/>
        <v>144.9092592875</v>
      </c>
      <c r="H26" s="19">
        <f t="shared" si="2"/>
        <v>149.256537066125</v>
      </c>
      <c r="I26" s="19">
        <f t="shared" si="2"/>
        <v>153.73423317810875</v>
      </c>
      <c r="J26" s="19">
        <f t="shared" si="2"/>
        <v>158.346260173452</v>
      </c>
      <c r="K26" s="19">
        <f t="shared" si="2"/>
        <v>163.09664797865557</v>
      </c>
      <c r="L26" s="19">
        <f t="shared" si="2"/>
        <v>167.98954741801523</v>
      </c>
      <c r="M26" s="19">
        <f t="shared" si="2"/>
        <v>173.0292338405557</v>
      </c>
    </row>
    <row r="27" spans="1:13" ht="12.75">
      <c r="A27" t="s">
        <v>228</v>
      </c>
      <c r="B27" s="19">
        <v>150</v>
      </c>
      <c r="C27" s="19">
        <f>B27+B27*C5</f>
        <v>154.5</v>
      </c>
      <c r="D27" s="19">
        <f aca="true" t="shared" si="3" ref="D27:M27">C27+C27*D5</f>
        <v>159.135</v>
      </c>
      <c r="E27" s="19">
        <f t="shared" si="3"/>
        <v>163.90904999999998</v>
      </c>
      <c r="F27" s="19">
        <f t="shared" si="3"/>
        <v>168.82632149999998</v>
      </c>
      <c r="G27" s="19">
        <f t="shared" si="3"/>
        <v>173.89111114499997</v>
      </c>
      <c r="H27" s="19">
        <f t="shared" si="3"/>
        <v>179.10784447934998</v>
      </c>
      <c r="I27" s="19">
        <f t="shared" si="3"/>
        <v>184.48107981373047</v>
      </c>
      <c r="J27" s="19">
        <f t="shared" si="3"/>
        <v>190.01551220814238</v>
      </c>
      <c r="K27" s="19">
        <f t="shared" si="3"/>
        <v>195.71597757438664</v>
      </c>
      <c r="L27" s="19">
        <f t="shared" si="3"/>
        <v>201.58745690161825</v>
      </c>
      <c r="M27" s="19">
        <f t="shared" si="3"/>
        <v>207.6350806086668</v>
      </c>
    </row>
    <row r="28" spans="2:13" ht="12.7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2.75">
      <c r="A29" t="s">
        <v>224</v>
      </c>
      <c r="B29" s="19">
        <v>110</v>
      </c>
      <c r="C29" s="19">
        <f>B29+B29*C5</f>
        <v>113.3</v>
      </c>
      <c r="D29" s="19">
        <f aca="true" t="shared" si="4" ref="D29:M29">C29+C29*D5</f>
        <v>116.699</v>
      </c>
      <c r="E29" s="19">
        <f t="shared" si="4"/>
        <v>120.19997</v>
      </c>
      <c r="F29" s="19">
        <f t="shared" si="4"/>
        <v>123.8059691</v>
      </c>
      <c r="G29" s="19">
        <f t="shared" si="4"/>
        <v>127.520148173</v>
      </c>
      <c r="H29" s="19">
        <f t="shared" si="4"/>
        <v>131.34575261819</v>
      </c>
      <c r="I29" s="19">
        <f t="shared" si="4"/>
        <v>135.2861251967357</v>
      </c>
      <c r="J29" s="19">
        <f t="shared" si="4"/>
        <v>139.34470895263777</v>
      </c>
      <c r="K29" s="19">
        <f t="shared" si="4"/>
        <v>143.5250502212169</v>
      </c>
      <c r="L29" s="19">
        <f t="shared" si="4"/>
        <v>147.8308017278534</v>
      </c>
      <c r="M29" s="19">
        <f t="shared" si="4"/>
        <v>152.265725779689</v>
      </c>
    </row>
    <row r="31" spans="1:13" ht="12.75">
      <c r="A31" t="s">
        <v>48</v>
      </c>
      <c r="B31" t="s">
        <v>50</v>
      </c>
      <c r="C31" t="s">
        <v>50</v>
      </c>
      <c r="D31" t="s">
        <v>50</v>
      </c>
      <c r="E31" t="s">
        <v>50</v>
      </c>
      <c r="F31" t="s">
        <v>50</v>
      </c>
      <c r="G31" t="s">
        <v>50</v>
      </c>
      <c r="H31" t="s">
        <v>50</v>
      </c>
      <c r="I31" t="s">
        <v>50</v>
      </c>
      <c r="J31" t="s">
        <v>50</v>
      </c>
      <c r="K31" t="s">
        <v>50</v>
      </c>
      <c r="L31" t="s">
        <v>50</v>
      </c>
      <c r="M31" t="s">
        <v>50</v>
      </c>
    </row>
    <row r="32" spans="1:13" ht="12.75">
      <c r="A32" t="s">
        <v>49</v>
      </c>
      <c r="B32" t="s">
        <v>50</v>
      </c>
      <c r="C32" t="s">
        <v>50</v>
      </c>
      <c r="D32" t="s">
        <v>50</v>
      </c>
      <c r="E32" t="s">
        <v>50</v>
      </c>
      <c r="F32" t="s">
        <v>50</v>
      </c>
      <c r="G32" t="s">
        <v>50</v>
      </c>
      <c r="H32" t="s">
        <v>50</v>
      </c>
      <c r="I32" t="s">
        <v>50</v>
      </c>
      <c r="J32" t="s">
        <v>50</v>
      </c>
      <c r="K32" t="s">
        <v>50</v>
      </c>
      <c r="L32" t="s">
        <v>50</v>
      </c>
      <c r="M32" t="s">
        <v>50</v>
      </c>
    </row>
    <row r="34" spans="1:13" ht="12.75">
      <c r="A34" t="s">
        <v>51</v>
      </c>
      <c r="B34" s="4">
        <v>1</v>
      </c>
      <c r="C34" s="4">
        <v>1</v>
      </c>
      <c r="D34" s="4">
        <v>1</v>
      </c>
      <c r="E34" s="4">
        <v>1</v>
      </c>
      <c r="F34" s="4">
        <v>1</v>
      </c>
      <c r="G34" s="4">
        <v>1</v>
      </c>
      <c r="H34" s="4">
        <v>1</v>
      </c>
      <c r="I34" s="4">
        <v>1</v>
      </c>
      <c r="J34" s="4">
        <v>1</v>
      </c>
      <c r="K34" s="4">
        <v>1</v>
      </c>
      <c r="L34" s="4">
        <v>1</v>
      </c>
      <c r="M34" s="4">
        <v>1</v>
      </c>
    </row>
    <row r="36" spans="1:13" ht="12.75">
      <c r="A36" t="s">
        <v>84</v>
      </c>
      <c r="B36">
        <v>4000</v>
      </c>
      <c r="C36" s="10">
        <f aca="true" t="shared" si="5" ref="C36:M36">B36+B36*B5</f>
        <v>4120</v>
      </c>
      <c r="D36" s="10">
        <f t="shared" si="5"/>
        <v>4243.6</v>
      </c>
      <c r="E36" s="10">
        <f t="shared" si="5"/>
        <v>4370.908</v>
      </c>
      <c r="F36" s="10">
        <f t="shared" si="5"/>
        <v>4502.03524</v>
      </c>
      <c r="G36" s="10">
        <f t="shared" si="5"/>
        <v>4637.0962972</v>
      </c>
      <c r="H36" s="10">
        <f t="shared" si="5"/>
        <v>4776.209186116</v>
      </c>
      <c r="I36" s="10">
        <f t="shared" si="5"/>
        <v>4919.49546169948</v>
      </c>
      <c r="J36" s="10">
        <f t="shared" si="5"/>
        <v>5067.080325550464</v>
      </c>
      <c r="K36" s="10">
        <f t="shared" si="5"/>
        <v>5219.092735316978</v>
      </c>
      <c r="L36" s="10">
        <f t="shared" si="5"/>
        <v>5375.6655173764875</v>
      </c>
      <c r="M36" s="10">
        <f t="shared" si="5"/>
        <v>5536.935482897782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C5" sqref="C5"/>
    </sheetView>
  </sheetViews>
  <sheetFormatPr defaultColWidth="9.140625" defaultRowHeight="12.75"/>
  <cols>
    <col min="1" max="1" width="14.00390625" style="0" customWidth="1"/>
    <col min="2" max="2" width="10.57421875" style="0" customWidth="1"/>
  </cols>
  <sheetData>
    <row r="1" spans="1:4" ht="13.5" thickBot="1">
      <c r="A1" s="29" t="s">
        <v>4</v>
      </c>
      <c r="B1" s="30"/>
      <c r="C1" s="30"/>
      <c r="D1" s="2"/>
    </row>
    <row r="2" ht="13.5" thickBot="1"/>
    <row r="3" spans="2:14" ht="13.5" thickBot="1">
      <c r="B3" s="6">
        <v>2008</v>
      </c>
      <c r="C3" s="7">
        <v>2009</v>
      </c>
      <c r="D3" s="7">
        <v>2010</v>
      </c>
      <c r="E3" s="7">
        <v>2011</v>
      </c>
      <c r="F3" s="7">
        <v>2012</v>
      </c>
      <c r="G3" s="7">
        <v>2013</v>
      </c>
      <c r="H3" s="7">
        <v>2014</v>
      </c>
      <c r="I3" s="7">
        <v>2015</v>
      </c>
      <c r="J3" s="7">
        <v>2016</v>
      </c>
      <c r="K3" s="7">
        <v>2017</v>
      </c>
      <c r="L3" s="7">
        <v>2018</v>
      </c>
      <c r="M3" s="7">
        <v>2019</v>
      </c>
      <c r="N3" s="8">
        <v>2020</v>
      </c>
    </row>
    <row r="4" spans="1:2" ht="13.5" thickBot="1">
      <c r="A4" s="1" t="s">
        <v>5</v>
      </c>
      <c r="B4" s="2"/>
    </row>
    <row r="5" spans="1:14" ht="12.75">
      <c r="A5" t="s">
        <v>7</v>
      </c>
      <c r="B5">
        <v>39</v>
      </c>
      <c r="C5">
        <v>25</v>
      </c>
      <c r="D5">
        <f>C5+Medlemsændringer!C5</f>
        <v>25</v>
      </c>
      <c r="E5">
        <f>D5+Medlemsændringer!D5</f>
        <v>25</v>
      </c>
      <c r="F5">
        <f>E5+Medlemsændringer!E5</f>
        <v>25</v>
      </c>
      <c r="G5">
        <f>F5+Medlemsændringer!F5</f>
        <v>25</v>
      </c>
      <c r="H5">
        <f>G5+Medlemsændringer!G5</f>
        <v>25</v>
      </c>
      <c r="I5">
        <f>H5+Medlemsændringer!H5</f>
        <v>25</v>
      </c>
      <c r="J5">
        <f>I5+Medlemsændringer!I5</f>
        <v>25</v>
      </c>
      <c r="K5">
        <f>J5+Medlemsændringer!J5</f>
        <v>25</v>
      </c>
      <c r="L5">
        <f>K5+Medlemsændringer!K5</f>
        <v>25</v>
      </c>
      <c r="M5">
        <f>L5+Medlemsændringer!L5</f>
        <v>25</v>
      </c>
      <c r="N5">
        <f>M5+Medlemsændringer!M5</f>
        <v>25</v>
      </c>
    </row>
    <row r="6" spans="1:14" ht="12.75">
      <c r="A6" t="s">
        <v>6</v>
      </c>
      <c r="C6">
        <v>20</v>
      </c>
      <c r="D6">
        <f>C6+Medlemsændringer!C6</f>
        <v>20</v>
      </c>
      <c r="E6">
        <f>D6+Medlemsændringer!D6</f>
        <v>20</v>
      </c>
      <c r="F6">
        <f>E6+Medlemsændringer!E6</f>
        <v>20</v>
      </c>
      <c r="G6">
        <f>F6+Medlemsændringer!F6</f>
        <v>20</v>
      </c>
      <c r="H6">
        <f>G6+Medlemsændringer!G6</f>
        <v>20</v>
      </c>
      <c r="I6">
        <f>H6+Medlemsændringer!H6</f>
        <v>20</v>
      </c>
      <c r="J6">
        <f>I6+Medlemsændringer!I6</f>
        <v>20</v>
      </c>
      <c r="K6">
        <f>J6+Medlemsændringer!J6</f>
        <v>20</v>
      </c>
      <c r="L6">
        <f>K6+Medlemsændringer!K6</f>
        <v>20</v>
      </c>
      <c r="M6">
        <f>L6+Medlemsændringer!L6</f>
        <v>20</v>
      </c>
      <c r="N6">
        <f>M6+Medlemsændringer!M6</f>
        <v>20</v>
      </c>
    </row>
    <row r="7" spans="1:14" ht="12.75">
      <c r="A7" t="s">
        <v>8</v>
      </c>
      <c r="C7">
        <v>19</v>
      </c>
      <c r="D7">
        <f>C7+Medlemsændringer!C7</f>
        <v>19</v>
      </c>
      <c r="E7">
        <f>D7+Medlemsændringer!D7</f>
        <v>19</v>
      </c>
      <c r="F7">
        <f>E7+Medlemsændringer!E7</f>
        <v>19</v>
      </c>
      <c r="G7">
        <f>F7+Medlemsændringer!F7</f>
        <v>19</v>
      </c>
      <c r="H7">
        <f>G7+Medlemsændringer!G7</f>
        <v>19</v>
      </c>
      <c r="I7">
        <f>H7+Medlemsændringer!H7</f>
        <v>19</v>
      </c>
      <c r="J7">
        <f>I7+Medlemsændringer!I7</f>
        <v>19</v>
      </c>
      <c r="K7">
        <f>J7+Medlemsændringer!J7</f>
        <v>19</v>
      </c>
      <c r="L7">
        <f>K7+Medlemsændringer!K7</f>
        <v>19</v>
      </c>
      <c r="M7">
        <f>L7+Medlemsændringer!L7</f>
        <v>19</v>
      </c>
      <c r="N7">
        <f>M7+Medlemsændringer!M7</f>
        <v>19</v>
      </c>
    </row>
    <row r="8" spans="1:14" ht="12.75">
      <c r="A8" t="s">
        <v>17</v>
      </c>
      <c r="B8">
        <v>14</v>
      </c>
      <c r="C8">
        <v>0</v>
      </c>
      <c r="D8">
        <f>C8+Medlemsændringer!C8</f>
        <v>0</v>
      </c>
      <c r="E8">
        <f>D8+Medlemsændringer!D8</f>
        <v>0</v>
      </c>
      <c r="F8">
        <f>E8+Medlemsændringer!E8</f>
        <v>0</v>
      </c>
      <c r="G8">
        <f>F8+Medlemsændringer!F8</f>
        <v>0</v>
      </c>
      <c r="H8">
        <f>G8+Medlemsændringer!G8</f>
        <v>0</v>
      </c>
      <c r="I8">
        <f>H8+Medlemsændringer!H8</f>
        <v>0</v>
      </c>
      <c r="J8">
        <f>I8+Medlemsændringer!I8</f>
        <v>0</v>
      </c>
      <c r="K8">
        <f>J8+Medlemsændringer!J8</f>
        <v>0</v>
      </c>
      <c r="L8">
        <f>K8+Medlemsændringer!K8</f>
        <v>0</v>
      </c>
      <c r="M8">
        <f>L8+Medlemsændringer!L8</f>
        <v>0</v>
      </c>
      <c r="N8">
        <f>M8+Medlemsændringer!M8</f>
        <v>0</v>
      </c>
    </row>
    <row r="10" spans="1:2" ht="13.5" thickBot="1">
      <c r="A10" s="1" t="s">
        <v>16</v>
      </c>
      <c r="B10" s="2"/>
    </row>
    <row r="11" spans="1:14" ht="12.75">
      <c r="A11" t="s">
        <v>7</v>
      </c>
      <c r="B11">
        <v>3</v>
      </c>
      <c r="C11">
        <v>3</v>
      </c>
      <c r="D11">
        <f>C11+Medlemsændringer!C11</f>
        <v>3</v>
      </c>
      <c r="E11">
        <f>D11+Medlemsændringer!D11</f>
        <v>3</v>
      </c>
      <c r="F11">
        <f>E11+Medlemsændringer!E11</f>
        <v>3</v>
      </c>
      <c r="G11">
        <f>F11+Medlemsændringer!F11</f>
        <v>3</v>
      </c>
      <c r="H11">
        <f>G11+Medlemsændringer!G11</f>
        <v>3</v>
      </c>
      <c r="I11">
        <f>H11+Medlemsændringer!H11</f>
        <v>3</v>
      </c>
      <c r="J11">
        <f>I11+Medlemsændringer!I11</f>
        <v>3</v>
      </c>
      <c r="K11">
        <f>J11+Medlemsændringer!J11</f>
        <v>3</v>
      </c>
      <c r="L11">
        <f>K11+Medlemsændringer!K11</f>
        <v>3</v>
      </c>
      <c r="M11">
        <f>L11+Medlemsændringer!L11</f>
        <v>3</v>
      </c>
      <c r="N11">
        <f>M11+Medlemsændringer!M11</f>
        <v>3</v>
      </c>
    </row>
    <row r="12" spans="1:14" ht="12.75">
      <c r="A12" t="s">
        <v>6</v>
      </c>
      <c r="C12">
        <v>0</v>
      </c>
      <c r="D12">
        <f>C12+Medlemsændringer!C12</f>
        <v>0</v>
      </c>
      <c r="E12">
        <f>D12+Medlemsændringer!D12</f>
        <v>0</v>
      </c>
      <c r="F12">
        <f>E12+Medlemsændringer!E12</f>
        <v>0</v>
      </c>
      <c r="G12">
        <f>F12+Medlemsændringer!F12</f>
        <v>0</v>
      </c>
      <c r="H12">
        <f>G12+Medlemsændringer!G12</f>
        <v>0</v>
      </c>
      <c r="I12">
        <f>H12+Medlemsændringer!H12</f>
        <v>0</v>
      </c>
      <c r="J12">
        <f>I12+Medlemsændringer!I12</f>
        <v>0</v>
      </c>
      <c r="K12">
        <f>J12+Medlemsændringer!J12</f>
        <v>0</v>
      </c>
      <c r="L12">
        <f>K12+Medlemsændringer!K12</f>
        <v>0</v>
      </c>
      <c r="M12">
        <f>L12+Medlemsændringer!L12</f>
        <v>0</v>
      </c>
      <c r="N12">
        <f>M12+Medlemsændringer!M12</f>
        <v>0</v>
      </c>
    </row>
    <row r="13" spans="1:14" ht="12.75">
      <c r="A13" t="s">
        <v>8</v>
      </c>
      <c r="C13">
        <v>0</v>
      </c>
      <c r="D13">
        <f>C13+Medlemsændringer!C13</f>
        <v>0</v>
      </c>
      <c r="E13">
        <f>D13+Medlemsændringer!D13</f>
        <v>0</v>
      </c>
      <c r="F13">
        <f>E13+Medlemsændringer!E13</f>
        <v>0</v>
      </c>
      <c r="G13">
        <f>F13+Medlemsændringer!F13</f>
        <v>0</v>
      </c>
      <c r="H13">
        <f>G13+Medlemsændringer!G13</f>
        <v>0</v>
      </c>
      <c r="I13">
        <f>H13+Medlemsændringer!H13</f>
        <v>0</v>
      </c>
      <c r="J13">
        <f>I13+Medlemsændringer!I13</f>
        <v>0</v>
      </c>
      <c r="K13">
        <f>J13+Medlemsændringer!J13</f>
        <v>0</v>
      </c>
      <c r="L13">
        <f>K13+Medlemsændringer!K13</f>
        <v>0</v>
      </c>
      <c r="M13">
        <f>L13+Medlemsændringer!L13</f>
        <v>0</v>
      </c>
      <c r="N13">
        <f>M13+Medlemsændringer!M13</f>
        <v>0</v>
      </c>
    </row>
    <row r="14" spans="1:14" ht="12.75">
      <c r="A14" t="s">
        <v>17</v>
      </c>
      <c r="C14">
        <v>0</v>
      </c>
      <c r="D14">
        <f>C14+Medlemsændringer!C14</f>
        <v>0</v>
      </c>
      <c r="E14">
        <f>D14+Medlemsændringer!D14</f>
        <v>0</v>
      </c>
      <c r="F14">
        <f>E14+Medlemsændringer!E14</f>
        <v>0</v>
      </c>
      <c r="G14">
        <f>F14+Medlemsændringer!F14</f>
        <v>0</v>
      </c>
      <c r="H14">
        <f>G14+Medlemsændringer!G14</f>
        <v>0</v>
      </c>
      <c r="I14">
        <f>H14+Medlemsændringer!H14</f>
        <v>0</v>
      </c>
      <c r="J14">
        <f>I14+Medlemsændringer!I14</f>
        <v>0</v>
      </c>
      <c r="K14">
        <f>J14+Medlemsændringer!J14</f>
        <v>0</v>
      </c>
      <c r="L14">
        <f>K14+Medlemsændringer!K14</f>
        <v>0</v>
      </c>
      <c r="M14">
        <f>L14+Medlemsændringer!L14</f>
        <v>0</v>
      </c>
      <c r="N14">
        <f>M14+Medlemsændringer!M14</f>
        <v>0</v>
      </c>
    </row>
    <row r="16" spans="1:2" ht="13.5" thickBot="1">
      <c r="A16" s="1" t="s">
        <v>18</v>
      </c>
      <c r="B16" s="2"/>
    </row>
    <row r="17" spans="1:14" ht="12.75">
      <c r="A17" t="s">
        <v>7</v>
      </c>
      <c r="C17">
        <v>0</v>
      </c>
      <c r="D17">
        <f>C17+Medlemsændringer!C17</f>
        <v>0</v>
      </c>
      <c r="E17">
        <f>D17+Medlemsændringer!D17</f>
        <v>0</v>
      </c>
      <c r="F17">
        <f>E17+Medlemsændringer!E17</f>
        <v>0</v>
      </c>
      <c r="G17">
        <f>F17+Medlemsændringer!F17</f>
        <v>0</v>
      </c>
      <c r="H17">
        <f>G17+Medlemsændringer!G17</f>
        <v>0</v>
      </c>
      <c r="I17">
        <f>H17+Medlemsændringer!H17</f>
        <v>0</v>
      </c>
      <c r="J17">
        <f>I17+Medlemsændringer!I17</f>
        <v>0</v>
      </c>
      <c r="K17">
        <f>J17+Medlemsændringer!J17</f>
        <v>0</v>
      </c>
      <c r="L17">
        <f>K17+Medlemsændringer!K17</f>
        <v>0</v>
      </c>
      <c r="M17">
        <f>L17+Medlemsændringer!L17</f>
        <v>0</v>
      </c>
      <c r="N17">
        <f>M17+Medlemsændringer!M17</f>
        <v>0</v>
      </c>
    </row>
    <row r="18" spans="1:14" ht="12.75">
      <c r="A18" t="s">
        <v>6</v>
      </c>
      <c r="C18">
        <v>1</v>
      </c>
      <c r="D18">
        <f>C18+Medlemsændringer!C18</f>
        <v>1</v>
      </c>
      <c r="E18">
        <f>D18+Medlemsændringer!D18</f>
        <v>1</v>
      </c>
      <c r="F18">
        <f>E18+Medlemsændringer!E18</f>
        <v>1</v>
      </c>
      <c r="G18">
        <f>F18+Medlemsændringer!F18</f>
        <v>1</v>
      </c>
      <c r="H18">
        <f>G18+Medlemsændringer!G18</f>
        <v>1</v>
      </c>
      <c r="I18">
        <f>H18+Medlemsændringer!H18</f>
        <v>1</v>
      </c>
      <c r="J18">
        <f>I18+Medlemsændringer!I18</f>
        <v>1</v>
      </c>
      <c r="K18">
        <f>J18+Medlemsændringer!J18</f>
        <v>1</v>
      </c>
      <c r="L18">
        <f>K18+Medlemsændringer!K18</f>
        <v>1</v>
      </c>
      <c r="M18">
        <f>L18+Medlemsændringer!L18</f>
        <v>1</v>
      </c>
      <c r="N18">
        <f>M18+Medlemsændringer!M18</f>
        <v>1</v>
      </c>
    </row>
    <row r="19" spans="1:14" ht="12.75">
      <c r="A19" t="s">
        <v>8</v>
      </c>
      <c r="C19">
        <v>0</v>
      </c>
      <c r="D19">
        <f>C19+Medlemsændringer!C19</f>
        <v>0</v>
      </c>
      <c r="E19">
        <f>D19+Medlemsændringer!D19</f>
        <v>0</v>
      </c>
      <c r="F19">
        <f>E19+Medlemsændringer!E19</f>
        <v>0</v>
      </c>
      <c r="G19">
        <f>F19+Medlemsændringer!F19</f>
        <v>0</v>
      </c>
      <c r="H19">
        <f>G19+Medlemsændringer!G19</f>
        <v>0</v>
      </c>
      <c r="I19">
        <f>H19+Medlemsændringer!H19</f>
        <v>0</v>
      </c>
      <c r="J19">
        <f>I19+Medlemsændringer!I19</f>
        <v>0</v>
      </c>
      <c r="K19">
        <f>J19+Medlemsændringer!J19</f>
        <v>0</v>
      </c>
      <c r="L19">
        <f>K19+Medlemsændringer!K19</f>
        <v>0</v>
      </c>
      <c r="M19">
        <f>L19+Medlemsændringer!L19</f>
        <v>0</v>
      </c>
      <c r="N19">
        <f>M19+Medlemsændringer!M19</f>
        <v>0</v>
      </c>
    </row>
    <row r="20" spans="1:14" ht="12.75">
      <c r="A20" t="s">
        <v>17</v>
      </c>
      <c r="C20">
        <v>0</v>
      </c>
      <c r="D20">
        <f>C20+Medlemsændringer!C20</f>
        <v>0</v>
      </c>
      <c r="E20">
        <f>D20+Medlemsændringer!D20</f>
        <v>0</v>
      </c>
      <c r="F20">
        <f>E20+Medlemsændringer!E20</f>
        <v>0</v>
      </c>
      <c r="G20">
        <f>F20+Medlemsændringer!F20</f>
        <v>0</v>
      </c>
      <c r="H20">
        <f>G20+Medlemsændringer!G20</f>
        <v>0</v>
      </c>
      <c r="I20">
        <f>H20+Medlemsændringer!H20</f>
        <v>0</v>
      </c>
      <c r="J20">
        <f>I20+Medlemsændringer!I20</f>
        <v>0</v>
      </c>
      <c r="K20">
        <f>J20+Medlemsændringer!J20</f>
        <v>0</v>
      </c>
      <c r="L20">
        <f>K20+Medlemsændringer!K20</f>
        <v>0</v>
      </c>
      <c r="M20">
        <f>L20+Medlemsændringer!L20</f>
        <v>0</v>
      </c>
      <c r="N20">
        <f>M20+Medlemsændringer!M20</f>
        <v>0</v>
      </c>
    </row>
    <row r="22" spans="1:14" ht="12.75">
      <c r="A22" t="s">
        <v>9</v>
      </c>
      <c r="B22">
        <v>17</v>
      </c>
      <c r="C22">
        <v>0</v>
      </c>
      <c r="D22">
        <f>C22+Medlemsændringer!C22</f>
        <v>0</v>
      </c>
      <c r="E22">
        <f>D22+Medlemsændringer!D22</f>
        <v>0</v>
      </c>
      <c r="F22">
        <f>E22+Medlemsændringer!E22</f>
        <v>0</v>
      </c>
      <c r="G22">
        <f>F22+Medlemsændringer!F22</f>
        <v>0</v>
      </c>
      <c r="H22">
        <f>G22+Medlemsændringer!G22</f>
        <v>0</v>
      </c>
      <c r="I22">
        <f>H22+Medlemsændringer!H22</f>
        <v>0</v>
      </c>
      <c r="J22">
        <f>I22+Medlemsændringer!I22</f>
        <v>0</v>
      </c>
      <c r="K22">
        <f>J22+Medlemsændringer!J22</f>
        <v>0</v>
      </c>
      <c r="L22">
        <f>K22+Medlemsændringer!K22</f>
        <v>0</v>
      </c>
      <c r="M22">
        <f>L22+Medlemsændringer!L22</f>
        <v>0</v>
      </c>
      <c r="N22">
        <f>M22+Medlemsændringer!M22</f>
        <v>0</v>
      </c>
    </row>
    <row r="23" spans="1:14" ht="12.75">
      <c r="A23" t="s">
        <v>31</v>
      </c>
      <c r="C23">
        <v>61</v>
      </c>
      <c r="D23">
        <f>C23+Medlemsændringer!C23</f>
        <v>61</v>
      </c>
      <c r="E23">
        <f>D23+Medlemsændringer!D23</f>
        <v>61</v>
      </c>
      <c r="F23">
        <f>E23+Medlemsændringer!E23</f>
        <v>61</v>
      </c>
      <c r="G23">
        <f>F23+Medlemsændringer!F23</f>
        <v>61</v>
      </c>
      <c r="H23">
        <f>G23+Medlemsændringer!G23</f>
        <v>61</v>
      </c>
      <c r="I23">
        <f>H23+Medlemsændringer!H23</f>
        <v>61</v>
      </c>
      <c r="J23">
        <f>I23+Medlemsændringer!I23</f>
        <v>61</v>
      </c>
      <c r="K23">
        <f>J23+Medlemsændringer!J23</f>
        <v>61</v>
      </c>
      <c r="L23">
        <f>K23+Medlemsændringer!K23</f>
        <v>61</v>
      </c>
      <c r="M23">
        <f>L23+Medlemsændringer!L23</f>
        <v>61</v>
      </c>
      <c r="N23">
        <f>M23+Medlemsændringer!M23</f>
        <v>61</v>
      </c>
    </row>
    <row r="25" spans="1:14" ht="12.75">
      <c r="A25" t="s">
        <v>10</v>
      </c>
      <c r="B25">
        <v>1</v>
      </c>
      <c r="C25">
        <v>3</v>
      </c>
      <c r="D25">
        <f>C25+Medlemsændringer!C25</f>
        <v>3</v>
      </c>
      <c r="E25">
        <f>D25+Medlemsændringer!D25</f>
        <v>3</v>
      </c>
      <c r="F25">
        <f>E25+Medlemsændringer!E25</f>
        <v>3</v>
      </c>
      <c r="G25">
        <f>F25+Medlemsændringer!F25</f>
        <v>3</v>
      </c>
      <c r="H25">
        <f>G25+Medlemsændringer!G25</f>
        <v>3</v>
      </c>
      <c r="I25">
        <f>H25+Medlemsændringer!H25</f>
        <v>3</v>
      </c>
      <c r="J25">
        <f>I25+Medlemsændringer!I25</f>
        <v>3</v>
      </c>
      <c r="K25">
        <f>J25+Medlemsændringer!J25</f>
        <v>3</v>
      </c>
      <c r="L25">
        <f>K25+Medlemsændringer!K25</f>
        <v>3</v>
      </c>
      <c r="M25">
        <f>L25+Medlemsændringer!L25</f>
        <v>3</v>
      </c>
      <c r="N25">
        <f>M25+Medlemsændringer!M25</f>
        <v>3</v>
      </c>
    </row>
    <row r="26" spans="1:14" ht="12.75">
      <c r="A26" t="s">
        <v>11</v>
      </c>
      <c r="C26">
        <v>2</v>
      </c>
      <c r="D26">
        <f>C26+Medlemsændringer!C26</f>
        <v>2</v>
      </c>
      <c r="E26">
        <f>D26+Medlemsændringer!D26</f>
        <v>2</v>
      </c>
      <c r="F26">
        <f>E26+Medlemsændringer!E26</f>
        <v>2</v>
      </c>
      <c r="G26">
        <f>F26+Medlemsændringer!F26</f>
        <v>2</v>
      </c>
      <c r="H26">
        <f>G26+Medlemsændringer!G26</f>
        <v>2</v>
      </c>
      <c r="I26">
        <f>H26+Medlemsændringer!H26</f>
        <v>2</v>
      </c>
      <c r="J26">
        <f>I26+Medlemsændringer!I26</f>
        <v>2</v>
      </c>
      <c r="K26">
        <f>J26+Medlemsændringer!J26</f>
        <v>2</v>
      </c>
      <c r="L26">
        <f>K26+Medlemsændringer!K26</f>
        <v>2</v>
      </c>
      <c r="M26">
        <f>L26+Medlemsændringer!L26</f>
        <v>2</v>
      </c>
      <c r="N26">
        <f>M26+Medlemsændringer!M26</f>
        <v>2</v>
      </c>
    </row>
    <row r="27" spans="1:14" ht="12.75">
      <c r="A27" t="s">
        <v>12</v>
      </c>
      <c r="C27">
        <v>2</v>
      </c>
      <c r="D27">
        <f>C27+Medlemsændringer!C27</f>
        <v>2</v>
      </c>
      <c r="E27">
        <f>D27+Medlemsændringer!D27</f>
        <v>2</v>
      </c>
      <c r="F27">
        <f>E27+Medlemsændringer!E27</f>
        <v>2</v>
      </c>
      <c r="G27">
        <f>F27+Medlemsændringer!F27</f>
        <v>2</v>
      </c>
      <c r="H27">
        <f>G27+Medlemsændringer!G27</f>
        <v>2</v>
      </c>
      <c r="I27">
        <f>H27+Medlemsændringer!H27</f>
        <v>2</v>
      </c>
      <c r="J27">
        <f>I27+Medlemsændringer!I27</f>
        <v>2</v>
      </c>
      <c r="K27">
        <f>J27+Medlemsændringer!J27</f>
        <v>2</v>
      </c>
      <c r="L27">
        <f>K27+Medlemsændringer!K27</f>
        <v>2</v>
      </c>
      <c r="M27">
        <f>L27+Medlemsændringer!L27</f>
        <v>2</v>
      </c>
      <c r="N27">
        <f>M27+Medlemsændringer!M27</f>
        <v>2</v>
      </c>
    </row>
    <row r="28" spans="1:14" ht="12.75">
      <c r="A28" t="s">
        <v>13</v>
      </c>
      <c r="C28">
        <v>5</v>
      </c>
      <c r="D28">
        <f>C28+Medlemsændringer!C28</f>
        <v>5</v>
      </c>
      <c r="E28">
        <f>D28+Medlemsændringer!D28</f>
        <v>5</v>
      </c>
      <c r="F28">
        <f>E28+Medlemsændringer!E28</f>
        <v>5</v>
      </c>
      <c r="G28">
        <f>F28+Medlemsændringer!F28</f>
        <v>5</v>
      </c>
      <c r="H28">
        <f>G28+Medlemsændringer!G28</f>
        <v>5</v>
      </c>
      <c r="I28">
        <f>H28+Medlemsændringer!H28</f>
        <v>5</v>
      </c>
      <c r="J28">
        <f>I28+Medlemsændringer!I28</f>
        <v>5</v>
      </c>
      <c r="K28">
        <f>J28+Medlemsændringer!J28</f>
        <v>5</v>
      </c>
      <c r="L28">
        <f>K28+Medlemsændringer!K28</f>
        <v>5</v>
      </c>
      <c r="M28">
        <f>L28+Medlemsændringer!L28</f>
        <v>5</v>
      </c>
      <c r="N28">
        <f>M28+Medlemsændringer!M28</f>
        <v>5</v>
      </c>
    </row>
    <row r="29" spans="1:14" ht="12.75">
      <c r="A29" t="s">
        <v>14</v>
      </c>
      <c r="C29">
        <v>2</v>
      </c>
      <c r="D29">
        <f>C29+Medlemsændringer!C29</f>
        <v>2</v>
      </c>
      <c r="E29">
        <f>D29+Medlemsændringer!D29</f>
        <v>2</v>
      </c>
      <c r="F29">
        <f>E29+Medlemsændringer!E29</f>
        <v>2</v>
      </c>
      <c r="G29">
        <f>F29+Medlemsændringer!F29</f>
        <v>2</v>
      </c>
      <c r="H29">
        <f>G29+Medlemsændringer!G29</f>
        <v>2</v>
      </c>
      <c r="I29">
        <f>H29+Medlemsændringer!H29</f>
        <v>2</v>
      </c>
      <c r="J29">
        <f>I29+Medlemsændringer!I29</f>
        <v>2</v>
      </c>
      <c r="K29">
        <f>J29+Medlemsændringer!J29</f>
        <v>2</v>
      </c>
      <c r="L29">
        <f>K29+Medlemsændringer!K29</f>
        <v>2</v>
      </c>
      <c r="M29">
        <f>L29+Medlemsændringer!L29</f>
        <v>2</v>
      </c>
      <c r="N29">
        <f>M29+Medlemsændringer!M29</f>
        <v>2</v>
      </c>
    </row>
    <row r="31" spans="1:14" ht="12.75">
      <c r="A31" t="s">
        <v>15</v>
      </c>
      <c r="C31">
        <v>0</v>
      </c>
      <c r="D31">
        <f>C31+Medlemsændringer!C31</f>
        <v>0</v>
      </c>
      <c r="E31">
        <f>D31+Medlemsændringer!D31</f>
        <v>0</v>
      </c>
      <c r="F31">
        <f>E31+Medlemsændringer!E31</f>
        <v>0</v>
      </c>
      <c r="G31">
        <f>F31+Medlemsændringer!F31</f>
        <v>0</v>
      </c>
      <c r="H31">
        <f>G31+Medlemsændringer!G31</f>
        <v>0</v>
      </c>
      <c r="I31">
        <f>H31+Medlemsændringer!H31</f>
        <v>0</v>
      </c>
      <c r="J31">
        <f>I31+Medlemsændringer!I31</f>
        <v>0</v>
      </c>
      <c r="K31">
        <f>J31+Medlemsændringer!J31</f>
        <v>0</v>
      </c>
      <c r="L31">
        <f>K31+Medlemsændringer!K31</f>
        <v>0</v>
      </c>
      <c r="M31">
        <f>L31+Medlemsændringer!L31</f>
        <v>0</v>
      </c>
      <c r="N31">
        <f>M31+Medlemsændringer!M31</f>
        <v>0</v>
      </c>
    </row>
    <row r="32" ht="13.5" thickBot="1"/>
    <row r="33" spans="2:14" ht="13.5" thickBot="1">
      <c r="B33" s="6">
        <v>2008</v>
      </c>
      <c r="C33" s="7">
        <v>2009</v>
      </c>
      <c r="D33" s="7">
        <v>2010</v>
      </c>
      <c r="E33" s="7">
        <v>2011</v>
      </c>
      <c r="F33" s="7">
        <v>2012</v>
      </c>
      <c r="G33" s="7">
        <v>2013</v>
      </c>
      <c r="H33" s="7">
        <v>2014</v>
      </c>
      <c r="I33" s="7">
        <v>2015</v>
      </c>
      <c r="J33" s="7">
        <v>2016</v>
      </c>
      <c r="K33" s="7">
        <v>2017</v>
      </c>
      <c r="L33" s="7">
        <v>2018</v>
      </c>
      <c r="M33" s="7">
        <v>2019</v>
      </c>
      <c r="N33" s="8">
        <v>2020</v>
      </c>
    </row>
    <row r="34" spans="1:2" ht="13.5" thickBot="1">
      <c r="A34" s="1" t="s">
        <v>19</v>
      </c>
      <c r="B34" s="2"/>
    </row>
    <row r="35" ht="12.75">
      <c r="A35" t="s">
        <v>20</v>
      </c>
    </row>
    <row r="36" ht="12.75">
      <c r="A36" t="s">
        <v>21</v>
      </c>
    </row>
    <row r="37" ht="12.75">
      <c r="A37" t="s">
        <v>22</v>
      </c>
    </row>
    <row r="38" ht="12.75">
      <c r="A38" t="s">
        <v>16</v>
      </c>
    </row>
    <row r="39" ht="12.75">
      <c r="A39" t="s">
        <v>23</v>
      </c>
    </row>
    <row r="40" ht="12.75">
      <c r="A40" t="s">
        <v>24</v>
      </c>
    </row>
    <row r="41" ht="12.75">
      <c r="A41" t="s">
        <v>25</v>
      </c>
    </row>
    <row r="42" ht="12.75">
      <c r="A42" t="s">
        <v>26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5">
      <selection activeCell="D26" sqref="D26"/>
    </sheetView>
  </sheetViews>
  <sheetFormatPr defaultColWidth="9.140625" defaultRowHeight="12.75"/>
  <cols>
    <col min="1" max="1" width="13.28125" style="0" customWidth="1"/>
  </cols>
  <sheetData>
    <row r="1" spans="1:3" ht="13.5" thickBot="1">
      <c r="A1" s="28" t="s">
        <v>27</v>
      </c>
      <c r="B1" s="28"/>
      <c r="C1" s="28"/>
    </row>
    <row r="2" ht="13.5" thickBot="1"/>
    <row r="3" spans="2:14" ht="13.5" thickBot="1">
      <c r="B3" s="6">
        <v>2008</v>
      </c>
      <c r="C3" s="7">
        <v>2009</v>
      </c>
      <c r="D3" s="7">
        <v>2010</v>
      </c>
      <c r="E3" s="7">
        <v>2011</v>
      </c>
      <c r="F3" s="7">
        <v>2012</v>
      </c>
      <c r="G3" s="7">
        <v>2013</v>
      </c>
      <c r="H3" s="7">
        <v>2014</v>
      </c>
      <c r="I3" s="7">
        <v>2015</v>
      </c>
      <c r="J3" s="7">
        <v>2016</v>
      </c>
      <c r="K3" s="7">
        <v>2017</v>
      </c>
      <c r="L3" s="7">
        <v>2018</v>
      </c>
      <c r="M3" s="7">
        <v>2019</v>
      </c>
      <c r="N3" s="8">
        <v>2020</v>
      </c>
    </row>
    <row r="4" spans="1:2" ht="13.5" thickBot="1">
      <c r="A4" s="1" t="s">
        <v>5</v>
      </c>
      <c r="B4" s="2"/>
    </row>
    <row r="5" ht="12.75">
      <c r="A5" t="s">
        <v>7</v>
      </c>
    </row>
    <row r="6" ht="12.75">
      <c r="A6" t="s">
        <v>6</v>
      </c>
    </row>
    <row r="7" ht="12.75">
      <c r="A7" t="s">
        <v>8</v>
      </c>
    </row>
    <row r="8" ht="12.75">
      <c r="A8" t="s">
        <v>17</v>
      </c>
    </row>
    <row r="10" spans="1:2" ht="13.5" thickBot="1">
      <c r="A10" s="1" t="s">
        <v>16</v>
      </c>
      <c r="B10" s="2"/>
    </row>
    <row r="11" ht="12.75">
      <c r="A11" t="s">
        <v>7</v>
      </c>
    </row>
    <row r="12" ht="12.75">
      <c r="A12" t="s">
        <v>6</v>
      </c>
    </row>
    <row r="13" ht="12.75">
      <c r="A13" t="s">
        <v>8</v>
      </c>
    </row>
    <row r="14" ht="12.75">
      <c r="A14" t="s">
        <v>17</v>
      </c>
    </row>
    <row r="16" spans="1:2" ht="13.5" thickBot="1">
      <c r="A16" s="1" t="s">
        <v>18</v>
      </c>
      <c r="B16" s="2"/>
    </row>
    <row r="17" ht="12.75">
      <c r="A17" t="s">
        <v>7</v>
      </c>
    </row>
    <row r="18" ht="12.75">
      <c r="A18" t="s">
        <v>6</v>
      </c>
    </row>
    <row r="19" ht="12.75">
      <c r="A19" t="s">
        <v>8</v>
      </c>
    </row>
    <row r="20" ht="12.75">
      <c r="A20" t="s">
        <v>17</v>
      </c>
    </row>
    <row r="22" ht="12.75">
      <c r="A22" t="s">
        <v>9</v>
      </c>
    </row>
    <row r="23" ht="12.75">
      <c r="A23" t="s">
        <v>9</v>
      </c>
    </row>
    <row r="25" ht="12.75">
      <c r="A25" t="s">
        <v>10</v>
      </c>
    </row>
    <row r="26" ht="12.75">
      <c r="A26" t="s">
        <v>11</v>
      </c>
    </row>
    <row r="27" ht="12.75">
      <c r="A27" t="s">
        <v>12</v>
      </c>
    </row>
    <row r="28" ht="12.75">
      <c r="A28" t="s">
        <v>13</v>
      </c>
    </row>
    <row r="29" ht="12.75">
      <c r="A29" t="s">
        <v>14</v>
      </c>
    </row>
    <row r="31" ht="12.75">
      <c r="A31" t="s">
        <v>15</v>
      </c>
    </row>
    <row r="32" ht="13.5" thickBot="1"/>
    <row r="33" spans="2:14" ht="13.5" thickBot="1">
      <c r="B33" s="6">
        <v>2008</v>
      </c>
      <c r="C33" s="7">
        <v>2009</v>
      </c>
      <c r="D33" s="7">
        <v>2010</v>
      </c>
      <c r="E33" s="7">
        <v>2011</v>
      </c>
      <c r="F33" s="7">
        <v>2012</v>
      </c>
      <c r="G33" s="7">
        <v>2013</v>
      </c>
      <c r="H33" s="7">
        <v>2014</v>
      </c>
      <c r="I33" s="7">
        <v>2015</v>
      </c>
      <c r="J33" s="7">
        <v>2016</v>
      </c>
      <c r="K33" s="7">
        <v>2017</v>
      </c>
      <c r="L33" s="7">
        <v>2018</v>
      </c>
      <c r="M33" s="7">
        <v>2019</v>
      </c>
      <c r="N33" s="8">
        <v>2020</v>
      </c>
    </row>
    <row r="34" spans="1:2" ht="13.5" thickBot="1">
      <c r="A34" s="1" t="s">
        <v>19</v>
      </c>
      <c r="B34" s="2"/>
    </row>
    <row r="35" ht="12.75">
      <c r="A35" t="s">
        <v>20</v>
      </c>
    </row>
    <row r="36" ht="12.75">
      <c r="A36" t="s">
        <v>21</v>
      </c>
    </row>
    <row r="37" ht="12.75">
      <c r="A37" t="s">
        <v>22</v>
      </c>
    </row>
    <row r="38" ht="12.75">
      <c r="A38" t="s">
        <v>16</v>
      </c>
    </row>
    <row r="39" ht="12.75">
      <c r="A39" t="s">
        <v>23</v>
      </c>
    </row>
    <row r="40" ht="12.75">
      <c r="A40" t="s">
        <v>24</v>
      </c>
    </row>
    <row r="41" ht="12.75">
      <c r="A41" t="s">
        <v>25</v>
      </c>
    </row>
    <row r="42" ht="12.75">
      <c r="A42" t="s">
        <v>26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89"/>
  <sheetViews>
    <sheetView workbookViewId="0" topLeftCell="A53">
      <selection activeCell="C67" sqref="C67"/>
    </sheetView>
  </sheetViews>
  <sheetFormatPr defaultColWidth="9.140625" defaultRowHeight="12.75"/>
  <cols>
    <col min="1" max="1" width="25.57421875" style="0" customWidth="1"/>
  </cols>
  <sheetData>
    <row r="1" spans="1:3" ht="13.5" thickBot="1">
      <c r="A1" s="28" t="s">
        <v>129</v>
      </c>
      <c r="B1" s="28"/>
      <c r="C1" s="28"/>
    </row>
    <row r="2" ht="13.5" thickBot="1"/>
    <row r="3" spans="2:14" ht="13.5" thickBot="1">
      <c r="B3" s="6">
        <v>2008</v>
      </c>
      <c r="C3" s="7">
        <v>2009</v>
      </c>
      <c r="D3" s="7">
        <v>2010</v>
      </c>
      <c r="E3" s="7">
        <v>2011</v>
      </c>
      <c r="F3" s="7">
        <v>2012</v>
      </c>
      <c r="G3" s="7">
        <v>2013</v>
      </c>
      <c r="H3" s="7">
        <v>2014</v>
      </c>
      <c r="I3" s="7">
        <v>2015</v>
      </c>
      <c r="J3" s="7">
        <v>2016</v>
      </c>
      <c r="K3" s="7">
        <v>2017</v>
      </c>
      <c r="L3" s="7">
        <v>2018</v>
      </c>
      <c r="M3" s="7">
        <v>2019</v>
      </c>
      <c r="N3" s="8">
        <v>2020</v>
      </c>
    </row>
    <row r="4" spans="1:2" ht="13.5" thickBot="1">
      <c r="A4" s="1" t="s">
        <v>5</v>
      </c>
      <c r="B4" s="2"/>
    </row>
    <row r="5" spans="1:14" ht="12.75">
      <c r="A5" t="s">
        <v>7</v>
      </c>
      <c r="C5">
        <v>27</v>
      </c>
      <c r="D5">
        <f>C5*'Øko. nøgletal'!C34</f>
        <v>27</v>
      </c>
      <c r="E5">
        <f>D5*'Øko. nøgletal'!D34</f>
        <v>27</v>
      </c>
      <c r="F5">
        <f>E5*'Øko. nøgletal'!E34</f>
        <v>27</v>
      </c>
      <c r="G5">
        <f>F5*'Øko. nøgletal'!F34</f>
        <v>27</v>
      </c>
      <c r="H5">
        <f>G5*'Øko. nøgletal'!G34</f>
        <v>27</v>
      </c>
      <c r="I5">
        <f>H5*'Øko. nøgletal'!H34</f>
        <v>27</v>
      </c>
      <c r="J5">
        <f>I5*'Øko. nøgletal'!I34</f>
        <v>27</v>
      </c>
      <c r="K5">
        <f>J5*'Øko. nøgletal'!J34</f>
        <v>27</v>
      </c>
      <c r="L5">
        <f>K5*'Øko. nøgletal'!K34</f>
        <v>27</v>
      </c>
      <c r="M5">
        <f>L5*'Øko. nøgletal'!L34</f>
        <v>27</v>
      </c>
      <c r="N5">
        <f>M5*'Øko. nøgletal'!M34</f>
        <v>27</v>
      </c>
    </row>
    <row r="6" spans="1:14" ht="12.75">
      <c r="A6" t="s">
        <v>6</v>
      </c>
      <c r="C6">
        <v>10</v>
      </c>
      <c r="D6">
        <f>C6*'Øko. nøgletal'!C34</f>
        <v>10</v>
      </c>
      <c r="E6">
        <f>D6*'Øko. nøgletal'!D34</f>
        <v>10</v>
      </c>
      <c r="F6">
        <f>E6*'Øko. nøgletal'!E34</f>
        <v>10</v>
      </c>
      <c r="G6">
        <f>F6*'Øko. nøgletal'!F34</f>
        <v>10</v>
      </c>
      <c r="H6">
        <f>G6*'Øko. nøgletal'!G34</f>
        <v>10</v>
      </c>
      <c r="I6">
        <f>H6*'Øko. nøgletal'!H34</f>
        <v>10</v>
      </c>
      <c r="J6">
        <f>I6*'Øko. nøgletal'!I34</f>
        <v>10</v>
      </c>
      <c r="K6">
        <f>J6*'Øko. nøgletal'!J34</f>
        <v>10</v>
      </c>
      <c r="L6">
        <f>K6*'Øko. nøgletal'!K34</f>
        <v>10</v>
      </c>
      <c r="M6">
        <f>L6*'Øko. nøgletal'!L34</f>
        <v>10</v>
      </c>
      <c r="N6">
        <f>M6*'Øko. nøgletal'!M34</f>
        <v>10</v>
      </c>
    </row>
    <row r="7" spans="1:14" ht="12.75">
      <c r="A7" t="s">
        <v>8</v>
      </c>
      <c r="C7">
        <v>2</v>
      </c>
      <c r="D7">
        <f>C7*'Øko. nøgletal'!C34</f>
        <v>2</v>
      </c>
      <c r="E7">
        <f>D7*'Øko. nøgletal'!D34</f>
        <v>2</v>
      </c>
      <c r="F7">
        <f>E7*'Øko. nøgletal'!E34</f>
        <v>2</v>
      </c>
      <c r="G7">
        <f>F7*'Øko. nøgletal'!F34</f>
        <v>2</v>
      </c>
      <c r="H7">
        <f>G7*'Øko. nøgletal'!G34</f>
        <v>2</v>
      </c>
      <c r="I7">
        <f>H7*'Øko. nøgletal'!H34</f>
        <v>2</v>
      </c>
      <c r="J7">
        <f>I7*'Øko. nøgletal'!I34</f>
        <v>2</v>
      </c>
      <c r="K7">
        <f>J7*'Øko. nøgletal'!J34</f>
        <v>2</v>
      </c>
      <c r="L7">
        <f>K7*'Øko. nøgletal'!K34</f>
        <v>2</v>
      </c>
      <c r="M7">
        <f>L7*'Øko. nøgletal'!L34</f>
        <v>2</v>
      </c>
      <c r="N7">
        <f>M7*'Øko. nøgletal'!M34</f>
        <v>2</v>
      </c>
    </row>
    <row r="8" ht="12.75">
      <c r="A8" t="s">
        <v>17</v>
      </c>
    </row>
    <row r="10" spans="1:2" ht="13.5" thickBot="1">
      <c r="A10" s="1" t="s">
        <v>16</v>
      </c>
      <c r="B10" s="2"/>
    </row>
    <row r="11" spans="1:14" ht="12.75">
      <c r="A11" t="s">
        <v>7</v>
      </c>
      <c r="C11">
        <v>40</v>
      </c>
      <c r="D11">
        <f>C11*'Øko. nøgletal'!C34</f>
        <v>40</v>
      </c>
      <c r="E11">
        <f>D11*'Øko. nøgletal'!D34</f>
        <v>40</v>
      </c>
      <c r="F11">
        <f>E11*'Øko. nøgletal'!E34</f>
        <v>40</v>
      </c>
      <c r="G11">
        <f>F11*'Øko. nøgletal'!F34</f>
        <v>40</v>
      </c>
      <c r="H11">
        <f>G11*'Øko. nøgletal'!G34</f>
        <v>40</v>
      </c>
      <c r="I11">
        <f>H11*'Øko. nøgletal'!H34</f>
        <v>40</v>
      </c>
      <c r="J11">
        <f>I11*'Øko. nøgletal'!I34</f>
        <v>40</v>
      </c>
      <c r="K11">
        <f>J11*'Øko. nøgletal'!J34</f>
        <v>40</v>
      </c>
      <c r="L11">
        <f>K11*'Øko. nøgletal'!K34</f>
        <v>40</v>
      </c>
      <c r="M11">
        <f>L11*'Øko. nøgletal'!L34</f>
        <v>40</v>
      </c>
      <c r="N11">
        <f>M11*'Øko. nøgletal'!M34</f>
        <v>40</v>
      </c>
    </row>
    <row r="12" spans="1:14" ht="12.75">
      <c r="A12" t="s">
        <v>6</v>
      </c>
      <c r="C12">
        <v>15</v>
      </c>
      <c r="D12">
        <f>C12*'Øko. nøgletal'!C34</f>
        <v>15</v>
      </c>
      <c r="E12">
        <f>D12*'Øko. nøgletal'!D34</f>
        <v>15</v>
      </c>
      <c r="F12">
        <f>E12*'Øko. nøgletal'!E34</f>
        <v>15</v>
      </c>
      <c r="G12">
        <f>F12*'Øko. nøgletal'!F34</f>
        <v>15</v>
      </c>
      <c r="H12">
        <f>G12*'Øko. nøgletal'!G34</f>
        <v>15</v>
      </c>
      <c r="I12">
        <f>H12*'Øko. nøgletal'!H34</f>
        <v>15</v>
      </c>
      <c r="J12">
        <f>I12*'Øko. nøgletal'!I34</f>
        <v>15</v>
      </c>
      <c r="K12">
        <f>J12*'Øko. nøgletal'!J34</f>
        <v>15</v>
      </c>
      <c r="L12">
        <f>K12*'Øko. nøgletal'!K34</f>
        <v>15</v>
      </c>
      <c r="M12">
        <f>L12*'Øko. nøgletal'!L34</f>
        <v>15</v>
      </c>
      <c r="N12">
        <f>M12*'Øko. nøgletal'!M34</f>
        <v>15</v>
      </c>
    </row>
    <row r="13" spans="1:14" ht="12.75">
      <c r="A13" t="s">
        <v>8</v>
      </c>
      <c r="C13">
        <v>2</v>
      </c>
      <c r="D13">
        <f>C13*'Øko. nøgletal'!C34</f>
        <v>2</v>
      </c>
      <c r="E13">
        <f>D13*'Øko. nøgletal'!D34</f>
        <v>2</v>
      </c>
      <c r="F13">
        <f>E13*'Øko. nøgletal'!E34</f>
        <v>2</v>
      </c>
      <c r="G13">
        <f>F13*'Øko. nøgletal'!F34</f>
        <v>2</v>
      </c>
      <c r="H13">
        <f>G13*'Øko. nøgletal'!G34</f>
        <v>2</v>
      </c>
      <c r="I13">
        <f>H13*'Øko. nøgletal'!H34</f>
        <v>2</v>
      </c>
      <c r="J13">
        <f>I13*'Øko. nøgletal'!I34</f>
        <v>2</v>
      </c>
      <c r="K13">
        <f>J13*'Øko. nøgletal'!J34</f>
        <v>2</v>
      </c>
      <c r="L13">
        <f>K13*'Øko. nøgletal'!K34</f>
        <v>2</v>
      </c>
      <c r="M13">
        <f>L13*'Øko. nøgletal'!L34</f>
        <v>2</v>
      </c>
      <c r="N13">
        <f>M13*'Øko. nøgletal'!M34</f>
        <v>2</v>
      </c>
    </row>
    <row r="14" ht="12.75">
      <c r="A14" t="s">
        <v>17</v>
      </c>
    </row>
    <row r="16" spans="1:14" ht="12.75">
      <c r="A16" t="s">
        <v>9</v>
      </c>
      <c r="C16">
        <v>3</v>
      </c>
      <c r="D16">
        <f>C16*'Øko. nøgletal'!C34</f>
        <v>3</v>
      </c>
      <c r="E16">
        <f>D16*'Øko. nøgletal'!D34</f>
        <v>3</v>
      </c>
      <c r="F16">
        <f>E16*'Øko. nøgletal'!E34</f>
        <v>3</v>
      </c>
      <c r="G16">
        <f>F16*'Øko. nøgletal'!F34</f>
        <v>3</v>
      </c>
      <c r="H16">
        <f>G16*'Øko. nøgletal'!G34</f>
        <v>3</v>
      </c>
      <c r="I16">
        <f>H16*'Øko. nøgletal'!H34</f>
        <v>3</v>
      </c>
      <c r="J16">
        <f>I16*'Øko. nøgletal'!I34</f>
        <v>3</v>
      </c>
      <c r="K16">
        <f>J16*'Øko. nøgletal'!J34</f>
        <v>3</v>
      </c>
      <c r="L16">
        <f>K16*'Øko. nøgletal'!K34</f>
        <v>3</v>
      </c>
      <c r="M16">
        <f>L16*'Øko. nøgletal'!L34</f>
        <v>3</v>
      </c>
      <c r="N16">
        <f>M16*'Øko. nøgletal'!M34</f>
        <v>3</v>
      </c>
    </row>
    <row r="17" spans="1:14" ht="12.75">
      <c r="A17" t="s">
        <v>28</v>
      </c>
      <c r="C17">
        <v>0</v>
      </c>
      <c r="D17">
        <f>C17*'Øko. nøgletal'!C34</f>
        <v>0</v>
      </c>
      <c r="E17">
        <f>D17*'Øko. nøgletal'!D34</f>
        <v>0</v>
      </c>
      <c r="F17">
        <f>E17*'Øko. nøgletal'!E34</f>
        <v>0</v>
      </c>
      <c r="G17">
        <f>F17*'Øko. nøgletal'!F34</f>
        <v>0</v>
      </c>
      <c r="H17">
        <f>G17*'Øko. nøgletal'!G34</f>
        <v>0</v>
      </c>
      <c r="I17">
        <f>H17*'Øko. nøgletal'!H34</f>
        <v>0</v>
      </c>
      <c r="J17">
        <f>I17*'Øko. nøgletal'!I34</f>
        <v>0</v>
      </c>
      <c r="K17">
        <f>J17*'Øko. nøgletal'!J34</f>
        <v>0</v>
      </c>
      <c r="L17">
        <f>K17*'Øko. nøgletal'!K34</f>
        <v>0</v>
      </c>
      <c r="M17">
        <f>L17*'Øko. nøgletal'!L34</f>
        <v>0</v>
      </c>
      <c r="N17">
        <f>M17*'Øko. nøgletal'!M34</f>
        <v>0</v>
      </c>
    </row>
    <row r="19" spans="1:14" ht="12.75">
      <c r="A19" t="s">
        <v>15</v>
      </c>
      <c r="C19">
        <v>0</v>
      </c>
      <c r="D19">
        <f>C19*'Øko. nøgletal'!C34</f>
        <v>0</v>
      </c>
      <c r="E19">
        <f>D19*'Øko. nøgletal'!D34</f>
        <v>0</v>
      </c>
      <c r="F19">
        <f>E19*'Øko. nøgletal'!E34</f>
        <v>0</v>
      </c>
      <c r="G19">
        <f>F19*'Øko. nøgletal'!F34</f>
        <v>0</v>
      </c>
      <c r="H19">
        <f>G19*'Øko. nøgletal'!G34</f>
        <v>0</v>
      </c>
      <c r="I19">
        <f>H19*'Øko. nøgletal'!H34</f>
        <v>0</v>
      </c>
      <c r="J19">
        <f>I19*'Øko. nøgletal'!I34</f>
        <v>0</v>
      </c>
      <c r="K19">
        <f>J19*'Øko. nøgletal'!J34</f>
        <v>0</v>
      </c>
      <c r="L19">
        <f>K19*'Øko. nøgletal'!K34</f>
        <v>0</v>
      </c>
      <c r="M19">
        <f>L19*'Øko. nøgletal'!L34</f>
        <v>0</v>
      </c>
      <c r="N19">
        <f>M19*'Øko. nøgletal'!M34</f>
        <v>0</v>
      </c>
    </row>
    <row r="20" spans="1:14" ht="12.75">
      <c r="A20" t="s">
        <v>128</v>
      </c>
      <c r="C20">
        <v>150</v>
      </c>
      <c r="D20">
        <f>C20*'Øko. nøgletal'!C34</f>
        <v>150</v>
      </c>
      <c r="E20">
        <f>D20*'Øko. nøgletal'!D34</f>
        <v>150</v>
      </c>
      <c r="F20">
        <f>E20*'Øko. nøgletal'!E34</f>
        <v>150</v>
      </c>
      <c r="G20">
        <f>F20*'Øko. nøgletal'!F34</f>
        <v>150</v>
      </c>
      <c r="H20">
        <f>G20*'Øko. nøgletal'!G34</f>
        <v>150</v>
      </c>
      <c r="I20">
        <f>H20*'Øko. nøgletal'!H34</f>
        <v>150</v>
      </c>
      <c r="J20">
        <f>I20*'Øko. nøgletal'!I34</f>
        <v>150</v>
      </c>
      <c r="K20">
        <f>J20*'Øko. nøgletal'!J34</f>
        <v>150</v>
      </c>
      <c r="L20">
        <f>K20*'Øko. nøgletal'!K34</f>
        <v>150</v>
      </c>
      <c r="M20">
        <f>L20*'Øko. nøgletal'!L34</f>
        <v>150</v>
      </c>
      <c r="N20">
        <f>M20*'Øko. nøgletal'!M34</f>
        <v>150</v>
      </c>
    </row>
    <row r="22" spans="1:4" ht="13.5" thickBot="1">
      <c r="A22" s="28" t="s">
        <v>130</v>
      </c>
      <c r="B22" s="28"/>
      <c r="C22" s="28"/>
      <c r="D22" s="28"/>
    </row>
    <row r="23" ht="13.5" thickBot="1"/>
    <row r="24" spans="2:14" ht="13.5" thickBot="1">
      <c r="B24" s="6">
        <v>2008</v>
      </c>
      <c r="C24" s="7">
        <v>2009</v>
      </c>
      <c r="D24" s="7">
        <v>2010</v>
      </c>
      <c r="E24" s="7">
        <v>2011</v>
      </c>
      <c r="F24" s="7">
        <v>2012</v>
      </c>
      <c r="G24" s="7">
        <v>2013</v>
      </c>
      <c r="H24" s="7">
        <v>2014</v>
      </c>
      <c r="I24" s="7">
        <v>2015</v>
      </c>
      <c r="J24" s="7">
        <v>2016</v>
      </c>
      <c r="K24" s="7">
        <v>2017</v>
      </c>
      <c r="L24" s="7">
        <v>2018</v>
      </c>
      <c r="M24" s="7">
        <v>2019</v>
      </c>
      <c r="N24" s="8">
        <v>2020</v>
      </c>
    </row>
    <row r="25" spans="1:2" ht="13.5" thickBot="1">
      <c r="A25" s="1" t="s">
        <v>5</v>
      </c>
      <c r="B25" s="2"/>
    </row>
    <row r="26" spans="1:14" ht="12.75">
      <c r="A26" t="s">
        <v>7</v>
      </c>
      <c r="C26">
        <v>1200</v>
      </c>
      <c r="D26">
        <f>C26*'Øko. nøgletal'!C34</f>
        <v>1200</v>
      </c>
      <c r="E26">
        <f>D26*'Øko. nøgletal'!D34</f>
        <v>1200</v>
      </c>
      <c r="F26">
        <f>E26*'Øko. nøgletal'!E34</f>
        <v>1200</v>
      </c>
      <c r="G26">
        <f>F26*'Øko. nøgletal'!F34</f>
        <v>1200</v>
      </c>
      <c r="H26">
        <f>G26*'Øko. nøgletal'!G34</f>
        <v>1200</v>
      </c>
      <c r="I26">
        <f>H26*'Øko. nøgletal'!H34</f>
        <v>1200</v>
      </c>
      <c r="J26">
        <f>I26*'Øko. nøgletal'!I34</f>
        <v>1200</v>
      </c>
      <c r="K26">
        <f>J26*'Øko. nøgletal'!J34</f>
        <v>1200</v>
      </c>
      <c r="L26">
        <f>K26*'Øko. nøgletal'!K34</f>
        <v>1200</v>
      </c>
      <c r="M26">
        <f>L26*'Øko. nøgletal'!L34</f>
        <v>1200</v>
      </c>
      <c r="N26">
        <f>M26*'Øko. nøgletal'!M34</f>
        <v>1200</v>
      </c>
    </row>
    <row r="27" spans="1:14" ht="12.75">
      <c r="A27" t="s">
        <v>6</v>
      </c>
      <c r="C27">
        <v>300</v>
      </c>
      <c r="D27">
        <f>C27*'Øko. nøgletal'!C34</f>
        <v>300</v>
      </c>
      <c r="E27">
        <f>D27*'Øko. nøgletal'!D34</f>
        <v>300</v>
      </c>
      <c r="F27">
        <f>E27*'Øko. nøgletal'!E34</f>
        <v>300</v>
      </c>
      <c r="G27">
        <f>F27*'Øko. nøgletal'!F34</f>
        <v>300</v>
      </c>
      <c r="H27">
        <f>G27*'Øko. nøgletal'!G34</f>
        <v>300</v>
      </c>
      <c r="I27">
        <f>H27*'Øko. nøgletal'!H34</f>
        <v>300</v>
      </c>
      <c r="J27">
        <f>I27*'Øko. nøgletal'!I34</f>
        <v>300</v>
      </c>
      <c r="K27">
        <f>J27*'Øko. nøgletal'!J34</f>
        <v>300</v>
      </c>
      <c r="L27">
        <f>K27*'Øko. nøgletal'!K34</f>
        <v>300</v>
      </c>
      <c r="M27">
        <f>L27*'Øko. nøgletal'!L34</f>
        <v>300</v>
      </c>
      <c r="N27">
        <f>M27*'Øko. nøgletal'!M34</f>
        <v>300</v>
      </c>
    </row>
    <row r="28" spans="1:14" ht="12.75">
      <c r="A28" t="s">
        <v>8</v>
      </c>
      <c r="C28">
        <v>30</v>
      </c>
      <c r="D28">
        <f>C28*'Øko. nøgletal'!C34</f>
        <v>30</v>
      </c>
      <c r="E28">
        <f>D28*'Øko. nøgletal'!D34</f>
        <v>30</v>
      </c>
      <c r="F28">
        <f>E28*'Øko. nøgletal'!E34</f>
        <v>30</v>
      </c>
      <c r="G28">
        <f>F28*'Øko. nøgletal'!F34</f>
        <v>30</v>
      </c>
      <c r="H28">
        <f>G28*'Øko. nøgletal'!G34</f>
        <v>30</v>
      </c>
      <c r="I28">
        <f>H28*'Øko. nøgletal'!H34</f>
        <v>30</v>
      </c>
      <c r="J28">
        <f>I28*'Øko. nøgletal'!I34</f>
        <v>30</v>
      </c>
      <c r="K28">
        <f>J28*'Øko. nøgletal'!J34</f>
        <v>30</v>
      </c>
      <c r="L28">
        <f>K28*'Øko. nøgletal'!K34</f>
        <v>30</v>
      </c>
      <c r="M28">
        <f>L28*'Øko. nøgletal'!L34</f>
        <v>30</v>
      </c>
      <c r="N28">
        <f>M28*'Øko. nøgletal'!M34</f>
        <v>30</v>
      </c>
    </row>
    <row r="29" ht="12.75">
      <c r="A29" t="s">
        <v>17</v>
      </c>
    </row>
    <row r="31" spans="1:2" ht="13.5" thickBot="1">
      <c r="A31" s="1" t="s">
        <v>16</v>
      </c>
      <c r="B31" s="2"/>
    </row>
    <row r="32" spans="1:14" ht="12.75">
      <c r="A32" t="s">
        <v>7</v>
      </c>
      <c r="C32">
        <v>1200</v>
      </c>
      <c r="D32">
        <f>C32*'Øko. nøgletal'!C34</f>
        <v>1200</v>
      </c>
      <c r="E32">
        <f>D32*'Øko. nøgletal'!D34</f>
        <v>1200</v>
      </c>
      <c r="F32">
        <f>E32*'Øko. nøgletal'!E34</f>
        <v>1200</v>
      </c>
      <c r="G32">
        <f>F32*'Øko. nøgletal'!F34</f>
        <v>1200</v>
      </c>
      <c r="H32">
        <f>G32*'Øko. nøgletal'!G34</f>
        <v>1200</v>
      </c>
      <c r="I32">
        <f>H32*'Øko. nøgletal'!H34</f>
        <v>1200</v>
      </c>
      <c r="J32">
        <f>I32*'Øko. nøgletal'!I34</f>
        <v>1200</v>
      </c>
      <c r="K32">
        <f>J32*'Øko. nøgletal'!J34</f>
        <v>1200</v>
      </c>
      <c r="L32">
        <f>K32*'Øko. nøgletal'!K34</f>
        <v>1200</v>
      </c>
      <c r="M32">
        <f>L32*'Øko. nøgletal'!L34</f>
        <v>1200</v>
      </c>
      <c r="N32">
        <f>M32*'Øko. nøgletal'!M34</f>
        <v>1200</v>
      </c>
    </row>
    <row r="33" spans="1:14" ht="12.75">
      <c r="A33" t="s">
        <v>6</v>
      </c>
      <c r="C33">
        <v>300</v>
      </c>
      <c r="D33">
        <f>C33*'Øko. nøgletal'!C34</f>
        <v>300</v>
      </c>
      <c r="E33">
        <f>D33*'Øko. nøgletal'!D34</f>
        <v>300</v>
      </c>
      <c r="F33">
        <f>E33*'Øko. nøgletal'!E34</f>
        <v>300</v>
      </c>
      <c r="G33">
        <f>F33*'Øko. nøgletal'!F34</f>
        <v>300</v>
      </c>
      <c r="H33">
        <f>G33*'Øko. nøgletal'!G34</f>
        <v>300</v>
      </c>
      <c r="I33">
        <f>H33*'Øko. nøgletal'!H34</f>
        <v>300</v>
      </c>
      <c r="J33">
        <f>I33*'Øko. nøgletal'!I34</f>
        <v>300</v>
      </c>
      <c r="K33">
        <f>J33*'Øko. nøgletal'!J34</f>
        <v>300</v>
      </c>
      <c r="L33">
        <f>K33*'Øko. nøgletal'!K34</f>
        <v>300</v>
      </c>
      <c r="M33">
        <f>L33*'Øko. nøgletal'!L34</f>
        <v>300</v>
      </c>
      <c r="N33">
        <f>M33*'Øko. nøgletal'!M34</f>
        <v>300</v>
      </c>
    </row>
    <row r="34" spans="1:14" ht="12.75">
      <c r="A34" t="s">
        <v>8</v>
      </c>
      <c r="C34">
        <v>30</v>
      </c>
      <c r="D34">
        <f>C34*'Øko. nøgletal'!C34</f>
        <v>30</v>
      </c>
      <c r="E34">
        <f>D34*'Øko. nøgletal'!D34</f>
        <v>30</v>
      </c>
      <c r="F34">
        <f>E34*'Øko. nøgletal'!E34</f>
        <v>30</v>
      </c>
      <c r="G34">
        <f>F34*'Øko. nøgletal'!F34</f>
        <v>30</v>
      </c>
      <c r="H34">
        <f>G34*'Øko. nøgletal'!G34</f>
        <v>30</v>
      </c>
      <c r="I34">
        <f>H34*'Øko. nøgletal'!H34</f>
        <v>30</v>
      </c>
      <c r="J34">
        <f>I34*'Øko. nøgletal'!I34</f>
        <v>30</v>
      </c>
      <c r="K34">
        <f>J34*'Øko. nøgletal'!J34</f>
        <v>30</v>
      </c>
      <c r="L34">
        <f>K34*'Øko. nøgletal'!K34</f>
        <v>30</v>
      </c>
      <c r="M34">
        <f>L34*'Øko. nøgletal'!L34</f>
        <v>30</v>
      </c>
      <c r="N34">
        <f>M34*'Øko. nøgletal'!M34</f>
        <v>30</v>
      </c>
    </row>
    <row r="35" ht="12.75">
      <c r="A35" t="s">
        <v>17</v>
      </c>
    </row>
    <row r="37" spans="1:14" ht="12.75">
      <c r="A37" t="s">
        <v>9</v>
      </c>
      <c r="C37">
        <v>30</v>
      </c>
      <c r="D37">
        <f>C37*'Øko. nøgletal'!C34</f>
        <v>30</v>
      </c>
      <c r="E37">
        <f>D37*'Øko. nøgletal'!D34</f>
        <v>30</v>
      </c>
      <c r="F37">
        <f>E37*'Øko. nøgletal'!E34</f>
        <v>30</v>
      </c>
      <c r="G37">
        <f>F37*'Øko. nøgletal'!F34</f>
        <v>30</v>
      </c>
      <c r="H37">
        <f>G37*'Øko. nøgletal'!G34</f>
        <v>30</v>
      </c>
      <c r="I37">
        <f>H37*'Øko. nøgletal'!H34</f>
        <v>30</v>
      </c>
      <c r="J37">
        <f>I37*'Øko. nøgletal'!I34</f>
        <v>30</v>
      </c>
      <c r="K37">
        <f>J37*'Øko. nøgletal'!J34</f>
        <v>30</v>
      </c>
      <c r="L37">
        <f>K37*'Øko. nøgletal'!K34</f>
        <v>30</v>
      </c>
      <c r="M37">
        <f>L37*'Øko. nøgletal'!L34</f>
        <v>30</v>
      </c>
      <c r="N37">
        <f>M37*'Øko. nøgletal'!M34</f>
        <v>30</v>
      </c>
    </row>
    <row r="38" spans="1:14" ht="12.75">
      <c r="A38" t="s">
        <v>28</v>
      </c>
      <c r="C38">
        <v>0</v>
      </c>
      <c r="D38">
        <f>C38*'Øko. nøgletal'!C34</f>
        <v>0</v>
      </c>
      <c r="E38">
        <f>D38*'Øko. nøgletal'!D34</f>
        <v>0</v>
      </c>
      <c r="F38">
        <f>E38*'Øko. nøgletal'!E34</f>
        <v>0</v>
      </c>
      <c r="G38">
        <f>F38*'Øko. nøgletal'!F34</f>
        <v>0</v>
      </c>
      <c r="H38">
        <f>G38*'Øko. nøgletal'!G34</f>
        <v>0</v>
      </c>
      <c r="I38">
        <f>H38*'Øko. nøgletal'!H34</f>
        <v>0</v>
      </c>
      <c r="J38">
        <f>I38*'Øko. nøgletal'!I34</f>
        <v>0</v>
      </c>
      <c r="K38">
        <f>J38*'Øko. nøgletal'!J34</f>
        <v>0</v>
      </c>
      <c r="L38">
        <f>K38*'Øko. nøgletal'!K34</f>
        <v>0</v>
      </c>
      <c r="M38">
        <f>L38*'Øko. nøgletal'!L34</f>
        <v>0</v>
      </c>
      <c r="N38">
        <f>M38*'Øko. nøgletal'!M34</f>
        <v>0</v>
      </c>
    </row>
    <row r="40" spans="1:14" ht="12.75">
      <c r="A40" t="s">
        <v>15</v>
      </c>
      <c r="C40">
        <v>0</v>
      </c>
      <c r="D40">
        <f>C40*'Øko. nøgletal'!C34</f>
        <v>0</v>
      </c>
      <c r="E40">
        <f>D40*'Øko. nøgletal'!D34</f>
        <v>0</v>
      </c>
      <c r="F40">
        <f>E40*'Øko. nøgletal'!E34</f>
        <v>0</v>
      </c>
      <c r="G40">
        <f>F40*'Øko. nøgletal'!F34</f>
        <v>0</v>
      </c>
      <c r="H40">
        <f>G40*'Øko. nøgletal'!G34</f>
        <v>0</v>
      </c>
      <c r="I40">
        <f>H40*'Øko. nøgletal'!H34</f>
        <v>0</v>
      </c>
      <c r="J40">
        <f>I40*'Øko. nøgletal'!I34</f>
        <v>0</v>
      </c>
      <c r="K40">
        <f>J40*'Øko. nøgletal'!J34</f>
        <v>0</v>
      </c>
      <c r="L40">
        <f>K40*'Øko. nøgletal'!K34</f>
        <v>0</v>
      </c>
      <c r="M40">
        <f>L40*'Øko. nøgletal'!L34</f>
        <v>0</v>
      </c>
      <c r="N40">
        <f>M40*'Øko. nøgletal'!M34</f>
        <v>0</v>
      </c>
    </row>
    <row r="41" spans="1:14" ht="12.75">
      <c r="A41" t="s">
        <v>128</v>
      </c>
      <c r="C41">
        <v>2100</v>
      </c>
      <c r="D41">
        <f>C41*'Øko. nøgletal'!C34</f>
        <v>2100</v>
      </c>
      <c r="E41">
        <f>D41*'Øko. nøgletal'!D34</f>
        <v>2100</v>
      </c>
      <c r="F41">
        <f>E41*'Øko. nøgletal'!E34</f>
        <v>2100</v>
      </c>
      <c r="G41">
        <f>F41*'Øko. nøgletal'!F34</f>
        <v>2100</v>
      </c>
      <c r="H41">
        <f>G41*'Øko. nøgletal'!G34</f>
        <v>2100</v>
      </c>
      <c r="I41">
        <f>H41*'Øko. nøgletal'!H34</f>
        <v>2100</v>
      </c>
      <c r="J41">
        <f>I41*'Øko. nøgletal'!I34</f>
        <v>2100</v>
      </c>
      <c r="K41">
        <f>J41*'Øko. nøgletal'!J34</f>
        <v>2100</v>
      </c>
      <c r="L41">
        <f>K41*'Øko. nøgletal'!K34</f>
        <v>2100</v>
      </c>
      <c r="M41">
        <f>L41*'Øko. nøgletal'!L34</f>
        <v>2100</v>
      </c>
      <c r="N41">
        <f>M41*'Øko. nøgletal'!M34</f>
        <v>2100</v>
      </c>
    </row>
    <row r="43" spans="1:3" ht="13.5" thickBot="1">
      <c r="A43" s="28" t="s">
        <v>29</v>
      </c>
      <c r="B43" s="28"/>
      <c r="C43" s="28"/>
    </row>
    <row r="44" ht="13.5" thickBot="1"/>
    <row r="45" spans="2:14" ht="13.5" thickBot="1">
      <c r="B45" s="6">
        <v>2008</v>
      </c>
      <c r="C45" s="7">
        <v>2009</v>
      </c>
      <c r="D45" s="7">
        <v>2010</v>
      </c>
      <c r="E45" s="7">
        <v>2011</v>
      </c>
      <c r="F45" s="7">
        <v>2012</v>
      </c>
      <c r="G45" s="7">
        <v>2013</v>
      </c>
      <c r="H45" s="7">
        <v>2014</v>
      </c>
      <c r="I45" s="7">
        <v>2015</v>
      </c>
      <c r="J45" s="7">
        <v>2016</v>
      </c>
      <c r="K45" s="7">
        <v>2017</v>
      </c>
      <c r="L45" s="7">
        <v>2018</v>
      </c>
      <c r="M45" s="7">
        <v>2019</v>
      </c>
      <c r="N45" s="8">
        <v>2020</v>
      </c>
    </row>
    <row r="46" spans="1:2" ht="13.5" thickBot="1">
      <c r="A46" s="1" t="s">
        <v>5</v>
      </c>
      <c r="B46" s="2"/>
    </row>
    <row r="47" spans="1:14" ht="12.75">
      <c r="A47" t="s">
        <v>7</v>
      </c>
      <c r="C47">
        <v>150</v>
      </c>
      <c r="D47">
        <f>C47*'Øko. nøgletal'!C34</f>
        <v>150</v>
      </c>
      <c r="E47">
        <f>D47*'Øko. nøgletal'!D34</f>
        <v>150</v>
      </c>
      <c r="F47">
        <f>E47*'Øko. nøgletal'!E34</f>
        <v>150</v>
      </c>
      <c r="G47">
        <f>F47*'Øko. nøgletal'!F34</f>
        <v>150</v>
      </c>
      <c r="H47">
        <f>G47*'Øko. nøgletal'!G34</f>
        <v>150</v>
      </c>
      <c r="I47">
        <f>H47*'Øko. nøgletal'!H34</f>
        <v>150</v>
      </c>
      <c r="J47">
        <f>I47*'Øko. nøgletal'!I34</f>
        <v>150</v>
      </c>
      <c r="K47">
        <f>J47*'Øko. nøgletal'!J34</f>
        <v>150</v>
      </c>
      <c r="L47">
        <f>K47*'Øko. nøgletal'!K34</f>
        <v>150</v>
      </c>
      <c r="M47">
        <f>L47*'Øko. nøgletal'!L34</f>
        <v>150</v>
      </c>
      <c r="N47">
        <f>M47*'Øko. nøgletal'!M34</f>
        <v>150</v>
      </c>
    </row>
    <row r="48" spans="1:14" ht="12.75">
      <c r="A48" t="s">
        <v>6</v>
      </c>
      <c r="C48">
        <v>500</v>
      </c>
      <c r="D48">
        <f>C48*'Øko. nøgletal'!C34</f>
        <v>500</v>
      </c>
      <c r="E48">
        <f>D48*'Øko. nøgletal'!D34</f>
        <v>500</v>
      </c>
      <c r="F48">
        <f>E48*'Øko. nøgletal'!E34</f>
        <v>500</v>
      </c>
      <c r="G48">
        <f>F48*'Øko. nøgletal'!F34</f>
        <v>500</v>
      </c>
      <c r="H48">
        <f>G48*'Øko. nøgletal'!G34</f>
        <v>500</v>
      </c>
      <c r="I48">
        <f>H48*'Øko. nøgletal'!H34</f>
        <v>500</v>
      </c>
      <c r="J48">
        <f>I48*'Øko. nøgletal'!I34</f>
        <v>500</v>
      </c>
      <c r="K48">
        <f>J48*'Øko. nøgletal'!J34</f>
        <v>500</v>
      </c>
      <c r="L48">
        <f>K48*'Øko. nøgletal'!K34</f>
        <v>500</v>
      </c>
      <c r="M48">
        <f>L48*'Øko. nøgletal'!L34</f>
        <v>500</v>
      </c>
      <c r="N48">
        <f>M48*'Øko. nøgletal'!M34</f>
        <v>500</v>
      </c>
    </row>
    <row r="49" spans="1:14" ht="12.75">
      <c r="A49" t="s">
        <v>8</v>
      </c>
      <c r="C49">
        <v>16</v>
      </c>
      <c r="D49">
        <f>C49*'Øko. nøgletal'!C34</f>
        <v>16</v>
      </c>
      <c r="E49">
        <f>D49*'Øko. nøgletal'!D34</f>
        <v>16</v>
      </c>
      <c r="F49">
        <f>E49*'Øko. nøgletal'!E34</f>
        <v>16</v>
      </c>
      <c r="G49">
        <f>F49*'Øko. nøgletal'!F34</f>
        <v>16</v>
      </c>
      <c r="H49">
        <f>G49*'Øko. nøgletal'!G34</f>
        <v>16</v>
      </c>
      <c r="I49">
        <f>H49*'Øko. nøgletal'!H34</f>
        <v>16</v>
      </c>
      <c r="J49">
        <f>I49*'Øko. nøgletal'!I34</f>
        <v>16</v>
      </c>
      <c r="K49">
        <f>J49*'Øko. nøgletal'!J34</f>
        <v>16</v>
      </c>
      <c r="L49">
        <f>K49*'Øko. nøgletal'!K34</f>
        <v>16</v>
      </c>
      <c r="M49">
        <f>L49*'Øko. nøgletal'!L34</f>
        <v>16</v>
      </c>
      <c r="N49">
        <f>M49*'Øko. nøgletal'!M34</f>
        <v>16</v>
      </c>
    </row>
    <row r="50" spans="1:14" ht="12.75">
      <c r="A50" t="s">
        <v>17</v>
      </c>
      <c r="D50">
        <f>C50*'Øko. nøgletal'!C34</f>
        <v>0</v>
      </c>
      <c r="E50">
        <f>D50*'Øko. nøgletal'!D34</f>
        <v>0</v>
      </c>
      <c r="F50">
        <f>E50*'Øko. nøgletal'!E34</f>
        <v>0</v>
      </c>
      <c r="G50">
        <f>F50*'Øko. nøgletal'!F34</f>
        <v>0</v>
      </c>
      <c r="H50">
        <f>G50*'Øko. nøgletal'!G34</f>
        <v>0</v>
      </c>
      <c r="I50">
        <f>H50*'Øko. nøgletal'!H34</f>
        <v>0</v>
      </c>
      <c r="J50">
        <f>I50*'Øko. nøgletal'!I34</f>
        <v>0</v>
      </c>
      <c r="K50">
        <f>J50*'Øko. nøgletal'!J34</f>
        <v>0</v>
      </c>
      <c r="L50">
        <f>K50*'Øko. nøgletal'!K34</f>
        <v>0</v>
      </c>
      <c r="M50">
        <f>L50*'Øko. nøgletal'!L34</f>
        <v>0</v>
      </c>
      <c r="N50">
        <f>M50*'Øko. nøgletal'!M34</f>
        <v>0</v>
      </c>
    </row>
    <row r="52" spans="1:2" ht="13.5" thickBot="1">
      <c r="A52" s="1" t="s">
        <v>16</v>
      </c>
      <c r="B52" s="2"/>
    </row>
    <row r="53" spans="1:14" ht="12.75">
      <c r="A53" t="s">
        <v>7</v>
      </c>
      <c r="C53">
        <v>200</v>
      </c>
      <c r="D53">
        <f>C53*'Øko. nøgletal'!C34</f>
        <v>200</v>
      </c>
      <c r="E53">
        <f>D53*'Øko. nøgletal'!D34</f>
        <v>200</v>
      </c>
      <c r="F53">
        <f>E53*'Øko. nøgletal'!E34</f>
        <v>200</v>
      </c>
      <c r="G53">
        <f>F53*'Øko. nøgletal'!F34</f>
        <v>200</v>
      </c>
      <c r="H53">
        <f>G53*'Øko. nøgletal'!G34</f>
        <v>200</v>
      </c>
      <c r="I53">
        <f>H53*'Øko. nøgletal'!H34</f>
        <v>200</v>
      </c>
      <c r="J53">
        <f>I53*'Øko. nøgletal'!I34</f>
        <v>200</v>
      </c>
      <c r="K53">
        <f>J53*'Øko. nøgletal'!J34</f>
        <v>200</v>
      </c>
      <c r="L53">
        <f>K53*'Øko. nøgletal'!K34</f>
        <v>200</v>
      </c>
      <c r="M53">
        <f>L53*'Øko. nøgletal'!L34</f>
        <v>200</v>
      </c>
      <c r="N53">
        <f>M53*'Øko. nøgletal'!M34</f>
        <v>200</v>
      </c>
    </row>
    <row r="54" spans="1:14" ht="12.75">
      <c r="A54" t="s">
        <v>6</v>
      </c>
      <c r="C54">
        <v>500</v>
      </c>
      <c r="D54">
        <f>C54*'Øko. nøgletal'!C34</f>
        <v>500</v>
      </c>
      <c r="E54">
        <f>D54*'Øko. nøgletal'!D34</f>
        <v>500</v>
      </c>
      <c r="F54">
        <f>E54*'Øko. nøgletal'!E34</f>
        <v>500</v>
      </c>
      <c r="G54">
        <f>F54*'Øko. nøgletal'!F34</f>
        <v>500</v>
      </c>
      <c r="H54">
        <f>G54*'Øko. nøgletal'!G34</f>
        <v>500</v>
      </c>
      <c r="I54">
        <f>H54*'Øko. nøgletal'!H34</f>
        <v>500</v>
      </c>
      <c r="J54">
        <f>I54*'Øko. nøgletal'!I34</f>
        <v>500</v>
      </c>
      <c r="K54">
        <f>J54*'Øko. nøgletal'!J34</f>
        <v>500</v>
      </c>
      <c r="L54">
        <f>K54*'Øko. nøgletal'!K34</f>
        <v>500</v>
      </c>
      <c r="M54">
        <f>L54*'Øko. nøgletal'!L34</f>
        <v>500</v>
      </c>
      <c r="N54">
        <f>M54*'Øko. nøgletal'!M34</f>
        <v>500</v>
      </c>
    </row>
    <row r="55" spans="1:14" ht="12.75">
      <c r="A55" t="s">
        <v>8</v>
      </c>
      <c r="C55">
        <v>16</v>
      </c>
      <c r="D55">
        <f>C55*'Øko. nøgletal'!C34</f>
        <v>16</v>
      </c>
      <c r="E55">
        <f>D55*'Øko. nøgletal'!D34</f>
        <v>16</v>
      </c>
      <c r="F55">
        <f>E55*'Øko. nøgletal'!E34</f>
        <v>16</v>
      </c>
      <c r="G55">
        <f>F55*'Øko. nøgletal'!F34</f>
        <v>16</v>
      </c>
      <c r="H55">
        <f>G55*'Øko. nøgletal'!G34</f>
        <v>16</v>
      </c>
      <c r="I55">
        <f>H55*'Øko. nøgletal'!H34</f>
        <v>16</v>
      </c>
      <c r="J55">
        <f>I55*'Øko. nøgletal'!I34</f>
        <v>16</v>
      </c>
      <c r="K55">
        <f>J55*'Øko. nøgletal'!J34</f>
        <v>16</v>
      </c>
      <c r="L55">
        <f>K55*'Øko. nøgletal'!K34</f>
        <v>16</v>
      </c>
      <c r="M55">
        <f>L55*'Øko. nøgletal'!L34</f>
        <v>16</v>
      </c>
      <c r="N55">
        <f>M55*'Øko. nøgletal'!M34</f>
        <v>16</v>
      </c>
    </row>
    <row r="56" ht="12.75">
      <c r="A56" t="s">
        <v>17</v>
      </c>
    </row>
    <row r="58" spans="1:14" ht="12.75">
      <c r="A58" t="s">
        <v>9</v>
      </c>
      <c r="C58">
        <v>16</v>
      </c>
      <c r="D58">
        <f>C58*'Øko. nøgletal'!C34</f>
        <v>16</v>
      </c>
      <c r="E58">
        <f>D58*'Øko. nøgletal'!D34</f>
        <v>16</v>
      </c>
      <c r="F58">
        <f>E58*'Øko. nøgletal'!E34</f>
        <v>16</v>
      </c>
      <c r="G58">
        <f>F58*'Øko. nøgletal'!F34</f>
        <v>16</v>
      </c>
      <c r="H58">
        <f>G58*'Øko. nøgletal'!G34</f>
        <v>16</v>
      </c>
      <c r="I58">
        <f>H58*'Øko. nøgletal'!H34</f>
        <v>16</v>
      </c>
      <c r="J58">
        <f>I58*'Øko. nøgletal'!I34</f>
        <v>16</v>
      </c>
      <c r="K58">
        <f>J58*'Øko. nøgletal'!J34</f>
        <v>16</v>
      </c>
      <c r="L58">
        <f>K58*'Øko. nøgletal'!K34</f>
        <v>16</v>
      </c>
      <c r="M58">
        <f>L58*'Øko. nøgletal'!L34</f>
        <v>16</v>
      </c>
      <c r="N58">
        <f>M58*'Øko. nøgletal'!M34</f>
        <v>16</v>
      </c>
    </row>
    <row r="59" spans="1:14" ht="12.75">
      <c r="A59" t="s">
        <v>28</v>
      </c>
      <c r="C59">
        <v>0</v>
      </c>
      <c r="D59">
        <f>C59*'Øko. nøgletal'!C34</f>
        <v>0</v>
      </c>
      <c r="E59">
        <f>D59*'Øko. nøgletal'!D34</f>
        <v>0</v>
      </c>
      <c r="F59">
        <f>E59*'Øko. nøgletal'!E34</f>
        <v>0</v>
      </c>
      <c r="G59">
        <f>F59*'Øko. nøgletal'!F34</f>
        <v>0</v>
      </c>
      <c r="H59">
        <f>G59*'Øko. nøgletal'!G34</f>
        <v>0</v>
      </c>
      <c r="I59">
        <f>H59*'Øko. nøgletal'!H34</f>
        <v>0</v>
      </c>
      <c r="J59">
        <f>I59*'Øko. nøgletal'!I34</f>
        <v>0</v>
      </c>
      <c r="K59">
        <f>J59*'Øko. nøgletal'!J34</f>
        <v>0</v>
      </c>
      <c r="L59">
        <f>K59*'Øko. nøgletal'!K34</f>
        <v>0</v>
      </c>
      <c r="M59">
        <f>L59*'Øko. nøgletal'!L34</f>
        <v>0</v>
      </c>
      <c r="N59">
        <f>M59*'Øko. nøgletal'!M34</f>
        <v>0</v>
      </c>
    </row>
    <row r="61" spans="1:14" ht="12.75">
      <c r="A61" t="s">
        <v>15</v>
      </c>
      <c r="C61">
        <v>0</v>
      </c>
      <c r="D61">
        <f>C61*'Øko. nøgletal'!C34</f>
        <v>0</v>
      </c>
      <c r="E61">
        <f>D61*'Øko. nøgletal'!D34</f>
        <v>0</v>
      </c>
      <c r="F61">
        <f>E61*'Øko. nøgletal'!E34</f>
        <v>0</v>
      </c>
      <c r="G61">
        <f>F61*'Øko. nøgletal'!F34</f>
        <v>0</v>
      </c>
      <c r="H61">
        <f>G61*'Øko. nøgletal'!G34</f>
        <v>0</v>
      </c>
      <c r="I61">
        <f>H61*'Øko. nøgletal'!H34</f>
        <v>0</v>
      </c>
      <c r="J61">
        <f>I61*'Øko. nøgletal'!I34</f>
        <v>0</v>
      </c>
      <c r="K61">
        <f>J61*'Øko. nøgletal'!J34</f>
        <v>0</v>
      </c>
      <c r="L61">
        <f>K61*'Øko. nøgletal'!K34</f>
        <v>0</v>
      </c>
      <c r="M61">
        <f>L61*'Øko. nøgletal'!L34</f>
        <v>0</v>
      </c>
      <c r="N61">
        <f>M61*'Øko. nøgletal'!M34</f>
        <v>0</v>
      </c>
    </row>
    <row r="63" spans="1:3" ht="13.5" thickBot="1">
      <c r="A63" s="28" t="s">
        <v>30</v>
      </c>
      <c r="B63" s="28"/>
      <c r="C63" s="28"/>
    </row>
    <row r="64" ht="13.5" thickBot="1"/>
    <row r="65" spans="2:14" ht="13.5" thickBot="1">
      <c r="B65" s="6">
        <v>2008</v>
      </c>
      <c r="C65" s="7">
        <v>2009</v>
      </c>
      <c r="D65" s="7">
        <v>2010</v>
      </c>
      <c r="E65" s="7">
        <v>2011</v>
      </c>
      <c r="F65" s="7">
        <v>2012</v>
      </c>
      <c r="G65" s="7">
        <v>2013</v>
      </c>
      <c r="H65" s="7">
        <v>2014</v>
      </c>
      <c r="I65" s="7">
        <v>2015</v>
      </c>
      <c r="J65" s="7">
        <v>2016</v>
      </c>
      <c r="K65" s="7">
        <v>2017</v>
      </c>
      <c r="L65" s="7">
        <v>2018</v>
      </c>
      <c r="M65" s="7">
        <v>2019</v>
      </c>
      <c r="N65" s="8">
        <v>2020</v>
      </c>
    </row>
    <row r="66" spans="1:2" ht="13.5" thickBot="1">
      <c r="A66" s="1" t="s">
        <v>5</v>
      </c>
      <c r="B66" s="2"/>
    </row>
    <row r="67" spans="1:14" ht="12.75">
      <c r="A67" t="s">
        <v>7</v>
      </c>
      <c r="C67">
        <v>25</v>
      </c>
      <c r="D67">
        <f>C67*'Øko. nøgletal'!C34</f>
        <v>25</v>
      </c>
      <c r="E67">
        <f>D67*'Øko. nøgletal'!$C$34</f>
        <v>25</v>
      </c>
      <c r="F67">
        <f>E67*'Øko. nøgletal'!$C$34</f>
        <v>25</v>
      </c>
      <c r="G67">
        <f>F67*'Øko. nøgletal'!$C$34</f>
        <v>25</v>
      </c>
      <c r="H67">
        <f>G67*'Øko. nøgletal'!$C$34</f>
        <v>25</v>
      </c>
      <c r="I67">
        <f>H67*'Øko. nøgletal'!$C$34</f>
        <v>25</v>
      </c>
      <c r="J67">
        <f>I67*'Øko. nøgletal'!$C$34</f>
        <v>25</v>
      </c>
      <c r="K67">
        <f>J67*'Øko. nøgletal'!$C$34</f>
        <v>25</v>
      </c>
      <c r="L67">
        <f>K67*'Øko. nøgletal'!$C$34</f>
        <v>25</v>
      </c>
      <c r="M67">
        <f>L67*'Øko. nøgletal'!$C$34</f>
        <v>25</v>
      </c>
      <c r="N67">
        <f>M67*'Øko. nøgletal'!$C$34</f>
        <v>25</v>
      </c>
    </row>
    <row r="68" spans="1:14" ht="12.75">
      <c r="A68" t="s">
        <v>6</v>
      </c>
      <c r="C68">
        <v>5</v>
      </c>
      <c r="D68">
        <f>C68*'Øko. nøgletal'!C34</f>
        <v>5</v>
      </c>
      <c r="E68">
        <f>D68*'Øko. nøgletal'!$C$34</f>
        <v>5</v>
      </c>
      <c r="F68">
        <f>E68*'Øko. nøgletal'!$C$34</f>
        <v>5</v>
      </c>
      <c r="G68">
        <f>F68*'Øko. nøgletal'!$C$34</f>
        <v>5</v>
      </c>
      <c r="H68">
        <f>G68*'Øko. nøgletal'!$C$34</f>
        <v>5</v>
      </c>
      <c r="I68">
        <f>H68*'Øko. nøgletal'!$C$34</f>
        <v>5</v>
      </c>
      <c r="J68">
        <f>I68*'Øko. nøgletal'!$C$34</f>
        <v>5</v>
      </c>
      <c r="K68">
        <f>J68*'Øko. nøgletal'!$C$34</f>
        <v>5</v>
      </c>
      <c r="L68">
        <f>K68*'Øko. nøgletal'!$C$34</f>
        <v>5</v>
      </c>
      <c r="M68">
        <f>L68*'Øko. nøgletal'!$C$34</f>
        <v>5</v>
      </c>
      <c r="N68">
        <f>M68*'Øko. nøgletal'!$C$34</f>
        <v>5</v>
      </c>
    </row>
    <row r="69" spans="1:14" ht="12.75">
      <c r="A69" t="s">
        <v>8</v>
      </c>
      <c r="C69">
        <v>0</v>
      </c>
      <c r="D69">
        <f>C69*'Øko. nøgletal'!C34</f>
        <v>0</v>
      </c>
      <c r="E69">
        <f>D69*'Øko. nøgletal'!$C$34</f>
        <v>0</v>
      </c>
      <c r="F69">
        <f>E69*'Øko. nøgletal'!$C$34</f>
        <v>0</v>
      </c>
      <c r="G69">
        <f>F69*'Øko. nøgletal'!$C$34</f>
        <v>0</v>
      </c>
      <c r="H69">
        <f>G69*'Øko. nøgletal'!$C$34</f>
        <v>0</v>
      </c>
      <c r="I69">
        <f>H69*'Øko. nøgletal'!$C$34</f>
        <v>0</v>
      </c>
      <c r="J69">
        <f>I69*'Øko. nøgletal'!$C$34</f>
        <v>0</v>
      </c>
      <c r="K69">
        <f>J69*'Øko. nøgletal'!$C$34</f>
        <v>0</v>
      </c>
      <c r="L69">
        <f>K69*'Øko. nøgletal'!$C$34</f>
        <v>0</v>
      </c>
      <c r="M69">
        <f>L69*'Øko. nøgletal'!$C$34</f>
        <v>0</v>
      </c>
      <c r="N69">
        <f>M69*'Øko. nøgletal'!$C$34</f>
        <v>0</v>
      </c>
    </row>
    <row r="70" ht="12.75">
      <c r="A70" t="s">
        <v>17</v>
      </c>
    </row>
    <row r="72" spans="1:2" ht="13.5" thickBot="1">
      <c r="A72" s="1" t="s">
        <v>16</v>
      </c>
      <c r="B72" s="2"/>
    </row>
    <row r="73" spans="1:14" ht="12.75">
      <c r="A73" t="s">
        <v>7</v>
      </c>
      <c r="C73">
        <v>25</v>
      </c>
      <c r="D73">
        <f>C73*'Øko. nøgletal'!C34</f>
        <v>25</v>
      </c>
      <c r="E73">
        <f>D73*'Øko. nøgletal'!$C$34</f>
        <v>25</v>
      </c>
      <c r="F73">
        <f>E73*'Øko. nøgletal'!$C$34</f>
        <v>25</v>
      </c>
      <c r="G73">
        <f>F73*'Øko. nøgletal'!$C$34</f>
        <v>25</v>
      </c>
      <c r="H73">
        <f>G73*'Øko. nøgletal'!$C$34</f>
        <v>25</v>
      </c>
      <c r="I73">
        <f>H73*'Øko. nøgletal'!$C$34</f>
        <v>25</v>
      </c>
      <c r="J73">
        <f>I73*'Øko. nøgletal'!$C$34</f>
        <v>25</v>
      </c>
      <c r="K73">
        <f>J73*'Øko. nøgletal'!$C$34</f>
        <v>25</v>
      </c>
      <c r="L73">
        <f>K73*'Øko. nøgletal'!$C$34</f>
        <v>25</v>
      </c>
      <c r="M73">
        <f>L73*'Øko. nøgletal'!$C$34</f>
        <v>25</v>
      </c>
      <c r="N73">
        <f>M73*'Øko. nøgletal'!$C$34</f>
        <v>25</v>
      </c>
    </row>
    <row r="74" spans="1:14" ht="12.75">
      <c r="A74" t="s">
        <v>6</v>
      </c>
      <c r="C74">
        <v>5</v>
      </c>
      <c r="D74">
        <f>C74*'Øko. nøgletal'!C34</f>
        <v>5</v>
      </c>
      <c r="E74">
        <f>D74*'Øko. nøgletal'!$C$34</f>
        <v>5</v>
      </c>
      <c r="F74">
        <f>E74*'Øko. nøgletal'!$C$34</f>
        <v>5</v>
      </c>
      <c r="G74">
        <f>F74*'Øko. nøgletal'!$C$34</f>
        <v>5</v>
      </c>
      <c r="H74">
        <f>G74*'Øko. nøgletal'!$C$34</f>
        <v>5</v>
      </c>
      <c r="I74">
        <f>H74*'Øko. nøgletal'!$C$34</f>
        <v>5</v>
      </c>
      <c r="J74">
        <f>I74*'Øko. nøgletal'!$C$34</f>
        <v>5</v>
      </c>
      <c r="K74">
        <f>J74*'Øko. nøgletal'!$C$34</f>
        <v>5</v>
      </c>
      <c r="L74">
        <f>K74*'Øko. nøgletal'!$C$34</f>
        <v>5</v>
      </c>
      <c r="M74">
        <f>L74*'Øko. nøgletal'!$C$34</f>
        <v>5</v>
      </c>
      <c r="N74">
        <f>M74*'Øko. nøgletal'!$C$34</f>
        <v>5</v>
      </c>
    </row>
    <row r="75" spans="1:14" ht="12.75">
      <c r="A75" t="s">
        <v>8</v>
      </c>
      <c r="C75">
        <v>0</v>
      </c>
      <c r="D75">
        <f>C75*'Øko. nøgletal'!C34</f>
        <v>0</v>
      </c>
      <c r="E75">
        <f>D75*'Øko. nøgletal'!$C$34</f>
        <v>0</v>
      </c>
      <c r="F75">
        <f>E75*'Øko. nøgletal'!$C$34</f>
        <v>0</v>
      </c>
      <c r="G75">
        <f>F75*'Øko. nøgletal'!$C$34</f>
        <v>0</v>
      </c>
      <c r="H75">
        <f>G75*'Øko. nøgletal'!$C$34</f>
        <v>0</v>
      </c>
      <c r="I75">
        <f>H75*'Øko. nøgletal'!$C$34</f>
        <v>0</v>
      </c>
      <c r="J75">
        <f>I75*'Øko. nøgletal'!$C$34</f>
        <v>0</v>
      </c>
      <c r="K75">
        <f>J75*'Øko. nøgletal'!$C$34</f>
        <v>0</v>
      </c>
      <c r="L75">
        <f>K75*'Øko. nøgletal'!$C$34</f>
        <v>0</v>
      </c>
      <c r="M75">
        <f>L75*'Øko. nøgletal'!$C$34</f>
        <v>0</v>
      </c>
      <c r="N75">
        <f>M75*'Øko. nøgletal'!$C$34</f>
        <v>0</v>
      </c>
    </row>
    <row r="76" ht="12.75">
      <c r="A76" t="s">
        <v>17</v>
      </c>
    </row>
    <row r="78" spans="1:14" ht="12.75">
      <c r="A78" t="s">
        <v>9</v>
      </c>
      <c r="C78">
        <v>0</v>
      </c>
      <c r="D78">
        <f>C78*'Øko. nøgletal'!C34</f>
        <v>0</v>
      </c>
      <c r="E78">
        <f>D78*'Øko. nøgletal'!$C$34</f>
        <v>0</v>
      </c>
      <c r="F78">
        <f>E78*'Øko. nøgletal'!$C$34</f>
        <v>0</v>
      </c>
      <c r="G78">
        <f>F78*'Øko. nøgletal'!$C$34</f>
        <v>0</v>
      </c>
      <c r="H78">
        <f>G78*'Øko. nøgletal'!$C$34</f>
        <v>0</v>
      </c>
      <c r="I78">
        <f>H78*'Øko. nøgletal'!$C$34</f>
        <v>0</v>
      </c>
      <c r="J78">
        <f>I78*'Øko. nøgletal'!$C$34</f>
        <v>0</v>
      </c>
      <c r="K78">
        <f>J78*'Øko. nøgletal'!$C$34</f>
        <v>0</v>
      </c>
      <c r="L78">
        <f>K78*'Øko. nøgletal'!$C$34</f>
        <v>0</v>
      </c>
      <c r="M78">
        <f>L78*'Øko. nøgletal'!$C$34</f>
        <v>0</v>
      </c>
      <c r="N78">
        <f>M78*'Øko. nøgletal'!$C$34</f>
        <v>0</v>
      </c>
    </row>
    <row r="79" spans="1:14" ht="12.75">
      <c r="A79" t="s">
        <v>28</v>
      </c>
      <c r="C79">
        <v>0</v>
      </c>
      <c r="D79">
        <f>C79*'Øko. nøgletal'!C34</f>
        <v>0</v>
      </c>
      <c r="E79">
        <f>D79*'Øko. nøgletal'!$C$34</f>
        <v>0</v>
      </c>
      <c r="F79">
        <f>E79*'Øko. nøgletal'!$C$34</f>
        <v>0</v>
      </c>
      <c r="G79">
        <f>F79*'Øko. nøgletal'!$C$34</f>
        <v>0</v>
      </c>
      <c r="H79">
        <f>G79*'Øko. nøgletal'!$C$34</f>
        <v>0</v>
      </c>
      <c r="I79">
        <f>H79*'Øko. nøgletal'!$C$34</f>
        <v>0</v>
      </c>
      <c r="J79">
        <f>I79*'Øko. nøgletal'!$C$34</f>
        <v>0</v>
      </c>
      <c r="K79">
        <f>J79*'Øko. nøgletal'!$C$34</f>
        <v>0</v>
      </c>
      <c r="L79">
        <f>K79*'Øko. nøgletal'!$C$34</f>
        <v>0</v>
      </c>
      <c r="M79">
        <f>L79*'Øko. nøgletal'!$C$34</f>
        <v>0</v>
      </c>
      <c r="N79">
        <f>M79*'Øko. nøgletal'!$C$34</f>
        <v>0</v>
      </c>
    </row>
    <row r="81" spans="1:14" ht="12.75">
      <c r="A81" t="s">
        <v>15</v>
      </c>
      <c r="C81">
        <v>0</v>
      </c>
      <c r="D81">
        <f>C81*'Øko. nøgletal'!C34</f>
        <v>0</v>
      </c>
      <c r="E81">
        <f>D81*'Øko. nøgletal'!$C$34</f>
        <v>0</v>
      </c>
      <c r="F81">
        <f>E81*'Øko. nøgletal'!$C$34</f>
        <v>0</v>
      </c>
      <c r="G81">
        <f>F81*'Øko. nøgletal'!$C$34</f>
        <v>0</v>
      </c>
      <c r="H81">
        <f>G81*'Øko. nøgletal'!$C$34</f>
        <v>0</v>
      </c>
      <c r="I81">
        <f>H81*'Øko. nøgletal'!$C$34</f>
        <v>0</v>
      </c>
      <c r="J81">
        <f>I81*'Øko. nøgletal'!$C$34</f>
        <v>0</v>
      </c>
      <c r="K81">
        <f>J81*'Øko. nøgletal'!$C$34</f>
        <v>0</v>
      </c>
      <c r="L81">
        <f>K81*'Øko. nøgletal'!$C$34</f>
        <v>0</v>
      </c>
      <c r="M81">
        <f>L81*'Øko. nøgletal'!$C$34</f>
        <v>0</v>
      </c>
      <c r="N81">
        <f>M81*'Øko. nøgletal'!$C$34</f>
        <v>0</v>
      </c>
    </row>
    <row r="83" spans="1:14" ht="12.75">
      <c r="A83" t="s">
        <v>37</v>
      </c>
      <c r="C83">
        <v>30</v>
      </c>
      <c r="D83">
        <f>C83*'Øko. nøgletal'!C34</f>
        <v>30</v>
      </c>
      <c r="E83">
        <f>D83*'Øko. nøgletal'!$C$34</f>
        <v>30</v>
      </c>
      <c r="F83">
        <f>E83*'Øko. nøgletal'!$C$34</f>
        <v>30</v>
      </c>
      <c r="G83">
        <f>F83*'Øko. nøgletal'!$C$34</f>
        <v>30</v>
      </c>
      <c r="H83">
        <f>G83*'Øko. nøgletal'!$C$34</f>
        <v>30</v>
      </c>
      <c r="I83">
        <f>H83*'Øko. nøgletal'!$C$34</f>
        <v>30</v>
      </c>
      <c r="J83">
        <f>I83*'Øko. nøgletal'!$C$34</f>
        <v>30</v>
      </c>
      <c r="K83">
        <f>J83*'Øko. nøgletal'!$C$34</f>
        <v>30</v>
      </c>
      <c r="L83">
        <f>K83*'Øko. nøgletal'!$C$34</f>
        <v>30</v>
      </c>
      <c r="M83">
        <f>L83*'Øko. nøgletal'!$C$34</f>
        <v>30</v>
      </c>
      <c r="N83">
        <f>M83*'Øko. nøgletal'!$C$34</f>
        <v>30</v>
      </c>
    </row>
    <row r="84" spans="1:14" ht="12.75">
      <c r="A84" t="s">
        <v>39</v>
      </c>
      <c r="C84">
        <v>1</v>
      </c>
      <c r="D84">
        <f>C84*'Øko. nøgletal'!C34</f>
        <v>1</v>
      </c>
      <c r="E84">
        <f>D84*'Øko. nøgletal'!$C$34</f>
        <v>1</v>
      </c>
      <c r="F84">
        <f>E84*'Øko. nøgletal'!$C$34</f>
        <v>1</v>
      </c>
      <c r="G84">
        <f>F84*'Øko. nøgletal'!$C$34</f>
        <v>1</v>
      </c>
      <c r="H84">
        <f>G84*'Øko. nøgletal'!$C$34</f>
        <v>1</v>
      </c>
      <c r="I84">
        <f>H84*'Øko. nøgletal'!$C$34</f>
        <v>1</v>
      </c>
      <c r="J84">
        <f>I84*'Øko. nøgletal'!$C$34</f>
        <v>1</v>
      </c>
      <c r="K84">
        <f>J84*'Øko. nøgletal'!$C$34</f>
        <v>1</v>
      </c>
      <c r="L84">
        <f>K84*'Øko. nøgletal'!$C$34</f>
        <v>1</v>
      </c>
      <c r="M84">
        <f>L84*'Øko. nøgletal'!$C$34</f>
        <v>1</v>
      </c>
      <c r="N84">
        <f>M84*'Øko. nøgletal'!$C$34</f>
        <v>1</v>
      </c>
    </row>
    <row r="85" spans="1:14" ht="12.75">
      <c r="A85" t="s">
        <v>40</v>
      </c>
      <c r="C85">
        <v>1</v>
      </c>
      <c r="D85">
        <f>C85*'Øko. nøgletal'!C34</f>
        <v>1</v>
      </c>
      <c r="E85">
        <f>D85*'Øko. nøgletal'!$C$34</f>
        <v>1</v>
      </c>
      <c r="F85">
        <f>E85*'Øko. nøgletal'!$C$34</f>
        <v>1</v>
      </c>
      <c r="G85">
        <f>F85*'Øko. nøgletal'!$C$34</f>
        <v>1</v>
      </c>
      <c r="H85">
        <f>G85*'Øko. nøgletal'!$C$34</f>
        <v>1</v>
      </c>
      <c r="I85">
        <f>H85*'Øko. nøgletal'!$C$34</f>
        <v>1</v>
      </c>
      <c r="J85">
        <f>I85*'Øko. nøgletal'!$C$34</f>
        <v>1</v>
      </c>
      <c r="K85">
        <f>J85*'Øko. nøgletal'!$C$34</f>
        <v>1</v>
      </c>
      <c r="L85">
        <f>K85*'Øko. nøgletal'!$C$34</f>
        <v>1</v>
      </c>
      <c r="M85">
        <f>L85*'Øko. nøgletal'!$C$34</f>
        <v>1</v>
      </c>
      <c r="N85">
        <f>M85*'Øko. nøgletal'!$C$34</f>
        <v>1</v>
      </c>
    </row>
    <row r="87" ht="13.5" thickBot="1">
      <c r="A87" s="1" t="s">
        <v>41</v>
      </c>
    </row>
    <row r="88" spans="1:14" ht="12.75">
      <c r="A88" t="s">
        <v>42</v>
      </c>
      <c r="C88">
        <v>20</v>
      </c>
      <c r="D88">
        <f>C88*'Øko. nøgletal'!C34</f>
        <v>20</v>
      </c>
      <c r="E88">
        <f>D88*'Øko. nøgletal'!D34</f>
        <v>20</v>
      </c>
      <c r="F88">
        <f>E88*'Øko. nøgletal'!E34</f>
        <v>20</v>
      </c>
      <c r="G88">
        <f>F88*'Øko. nøgletal'!F34</f>
        <v>20</v>
      </c>
      <c r="H88">
        <f>G88*'Øko. nøgletal'!G34</f>
        <v>20</v>
      </c>
      <c r="I88">
        <f>H88*'Øko. nøgletal'!H34</f>
        <v>20</v>
      </c>
      <c r="J88">
        <f>I88*'Øko. nøgletal'!I34</f>
        <v>20</v>
      </c>
      <c r="K88">
        <f>J88*'Øko. nøgletal'!J34</f>
        <v>20</v>
      </c>
      <c r="L88">
        <f>K88*'Øko. nøgletal'!K34</f>
        <v>20</v>
      </c>
      <c r="M88">
        <f>L88*'Øko. nøgletal'!L34</f>
        <v>20</v>
      </c>
      <c r="N88">
        <f>M88*'Øko. nøgletal'!M34</f>
        <v>20</v>
      </c>
    </row>
    <row r="89" spans="1:14" ht="12.75">
      <c r="A89" t="s">
        <v>43</v>
      </c>
      <c r="C89">
        <v>2.5</v>
      </c>
      <c r="D89">
        <f>C89*'Øko. nøgletal'!C34</f>
        <v>2.5</v>
      </c>
      <c r="E89">
        <f>D89*'Øko. nøgletal'!D34</f>
        <v>2.5</v>
      </c>
      <c r="F89">
        <f>E89*'Øko. nøgletal'!E34</f>
        <v>2.5</v>
      </c>
      <c r="G89">
        <f>F89*'Øko. nøgletal'!F34</f>
        <v>2.5</v>
      </c>
      <c r="H89">
        <f>G89*'Øko. nøgletal'!G34</f>
        <v>2.5</v>
      </c>
      <c r="I89">
        <f>H89*'Øko. nøgletal'!H34</f>
        <v>2.5</v>
      </c>
      <c r="J89">
        <f>I89*'Øko. nøgletal'!I34</f>
        <v>2.5</v>
      </c>
      <c r="K89">
        <f>J89*'Øko. nøgletal'!J34</f>
        <v>2.5</v>
      </c>
      <c r="L89">
        <f>K89*'Øko. nøgletal'!K34</f>
        <v>2.5</v>
      </c>
      <c r="M89">
        <f>L89*'Øko. nøgletal'!L34</f>
        <v>2.5</v>
      </c>
      <c r="N89">
        <f>M89*'Øko. nøgletal'!M34</f>
        <v>2.5</v>
      </c>
    </row>
  </sheetData>
  <mergeCells count="4">
    <mergeCell ref="A43:C43"/>
    <mergeCell ref="A63:C63"/>
    <mergeCell ref="A1:C1"/>
    <mergeCell ref="A22:D2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47"/>
  <sheetViews>
    <sheetView workbookViewId="0" topLeftCell="A93">
      <selection activeCell="C124" sqref="C124"/>
    </sheetView>
  </sheetViews>
  <sheetFormatPr defaultColWidth="9.140625" defaultRowHeight="12.75"/>
  <cols>
    <col min="1" max="1" width="25.140625" style="0" customWidth="1"/>
  </cols>
  <sheetData>
    <row r="1" spans="1:3" ht="13.5" thickBot="1">
      <c r="A1" s="28" t="s">
        <v>131</v>
      </c>
      <c r="B1" s="28"/>
      <c r="C1" s="28"/>
    </row>
    <row r="2" spans="1:3" ht="13.5" thickBot="1">
      <c r="A2" s="3"/>
      <c r="B2" s="3"/>
      <c r="C2" s="3"/>
    </row>
    <row r="3" spans="2:14" ht="13.5" thickBot="1">
      <c r="B3" s="6">
        <v>2008</v>
      </c>
      <c r="C3" s="7">
        <v>2009</v>
      </c>
      <c r="D3" s="7">
        <v>2010</v>
      </c>
      <c r="E3" s="7">
        <v>2011</v>
      </c>
      <c r="F3" s="7">
        <v>2012</v>
      </c>
      <c r="G3" s="7">
        <v>2013</v>
      </c>
      <c r="H3" s="7">
        <v>2014</v>
      </c>
      <c r="I3" s="7">
        <v>2015</v>
      </c>
      <c r="J3" s="7">
        <v>2016</v>
      </c>
      <c r="K3" s="7">
        <v>2017</v>
      </c>
      <c r="L3" s="7">
        <v>2018</v>
      </c>
      <c r="M3" s="7">
        <v>2019</v>
      </c>
      <c r="N3" s="8">
        <v>2020</v>
      </c>
    </row>
    <row r="4" spans="1:2" ht="13.5" thickBot="1">
      <c r="A4" s="1" t="s">
        <v>5</v>
      </c>
      <c r="B4" s="2"/>
    </row>
    <row r="5" spans="1:14" ht="12.75">
      <c r="A5" t="s">
        <v>7</v>
      </c>
      <c r="C5" s="10">
        <v>600</v>
      </c>
      <c r="D5" s="10">
        <f>C5+C5*'Øko. nøgletal'!C5</f>
        <v>618</v>
      </c>
      <c r="E5" s="10">
        <f>D5+D5*'Øko. nøgletal'!D5</f>
        <v>636.54</v>
      </c>
      <c r="F5" s="10">
        <f>E5+E5*'Øko. nøgletal'!E5</f>
        <v>655.6361999999999</v>
      </c>
      <c r="G5" s="10">
        <f>F5+F5*'Øko. nøgletal'!F5</f>
        <v>675.3052859999999</v>
      </c>
      <c r="H5" s="10">
        <f>G5+G5*'Øko. nøgletal'!G5</f>
        <v>695.5644445799999</v>
      </c>
      <c r="I5" s="10">
        <f>H5+H5*'Øko. nøgletal'!H5</f>
        <v>716.4313779173999</v>
      </c>
      <c r="J5" s="10">
        <f>I5+I5*'Øko. nøgletal'!I5</f>
        <v>737.9243192549219</v>
      </c>
      <c r="K5" s="10">
        <f>J5+J5*'Øko. nøgletal'!J5</f>
        <v>760.0620488325695</v>
      </c>
      <c r="L5" s="10">
        <f>K5+K5*'Øko. nøgletal'!K5</f>
        <v>782.8639102975466</v>
      </c>
      <c r="M5" s="10">
        <f>L5+L5*'Øko. nøgletal'!L5</f>
        <v>806.349827606473</v>
      </c>
      <c r="N5" s="10">
        <f>M5+M5*'Øko. nøgletal'!M5</f>
        <v>830.5403224346672</v>
      </c>
    </row>
    <row r="6" spans="1:14" ht="12.75">
      <c r="A6" t="s">
        <v>6</v>
      </c>
      <c r="C6" s="10">
        <v>240</v>
      </c>
      <c r="D6" s="10">
        <f>C6+C6*'Øko. nøgletal'!C5</f>
        <v>247.2</v>
      </c>
      <c r="E6" s="10">
        <f>D6+D6*'Øko. nøgletal'!D5</f>
        <v>254.61599999999999</v>
      </c>
      <c r="F6" s="10">
        <f>E6+E6*'Øko. nøgletal'!E5</f>
        <v>262.25448</v>
      </c>
      <c r="G6" s="10">
        <f>F6+F6*'Øko. nøgletal'!F5</f>
        <v>270.1221144</v>
      </c>
      <c r="H6" s="10">
        <f>G6+G6*'Øko. nøgletal'!G5</f>
        <v>278.225777832</v>
      </c>
      <c r="I6" s="10">
        <f>H6+H6*'Øko. nøgletal'!H5</f>
        <v>286.57255116696</v>
      </c>
      <c r="J6" s="10">
        <f>I6+I6*'Øko. nøgletal'!I5</f>
        <v>295.1697277019688</v>
      </c>
      <c r="K6" s="10">
        <f>J6+J6*'Øko. nøgletal'!J5</f>
        <v>304.0248195330278</v>
      </c>
      <c r="L6" s="10">
        <f>K6+K6*'Øko. nøgletal'!K5</f>
        <v>313.1455641190187</v>
      </c>
      <c r="M6" s="10">
        <f>L6+L6*'Øko. nøgletal'!L5</f>
        <v>322.5399310425892</v>
      </c>
      <c r="N6" s="10">
        <f>M6+M6*'Øko. nøgletal'!M5</f>
        <v>332.2161289738669</v>
      </c>
    </row>
    <row r="7" spans="1:14" ht="12.75">
      <c r="A7" t="s">
        <v>133</v>
      </c>
      <c r="C7" s="10">
        <v>475</v>
      </c>
      <c r="D7" s="10">
        <f>C7+C7*'Øko. nøgletal'!C5</f>
        <v>489.25</v>
      </c>
      <c r="E7" s="10">
        <f>D7+D7*'Øko. nøgletal'!D5</f>
        <v>503.9275</v>
      </c>
      <c r="F7" s="10">
        <f>E7+E7*'Øko. nøgletal'!E5</f>
        <v>519.045325</v>
      </c>
      <c r="G7" s="10">
        <f>F7+F7*'Øko. nøgletal'!F5</f>
        <v>534.6166847500001</v>
      </c>
      <c r="H7" s="10">
        <f>G7+G7*'Øko. nøgletal'!G5</f>
        <v>550.6551852925002</v>
      </c>
      <c r="I7" s="10">
        <f>H7+H7*'Øko. nøgletal'!H5</f>
        <v>567.1748408512751</v>
      </c>
      <c r="J7" s="10">
        <f>I7+I7*'Øko. nøgletal'!I5</f>
        <v>584.1900860768134</v>
      </c>
      <c r="K7" s="10">
        <f>J7+J7*'Øko. nøgletal'!J5</f>
        <v>601.7157886591177</v>
      </c>
      <c r="L7" s="10">
        <f>K7+K7*'Øko. nøgletal'!K5</f>
        <v>619.7672623188912</v>
      </c>
      <c r="M7" s="10">
        <f>L7+L7*'Øko. nøgletal'!L5</f>
        <v>638.360280188458</v>
      </c>
      <c r="N7" s="10">
        <f>M7+M7*'Øko. nøgletal'!M5</f>
        <v>657.5110885941117</v>
      </c>
    </row>
    <row r="8" spans="1:14" ht="12.75">
      <c r="A8" t="s">
        <v>17</v>
      </c>
      <c r="C8" s="10">
        <v>225</v>
      </c>
      <c r="D8" s="10">
        <f>C8+C8*'Øko. nøgletal'!C5</f>
        <v>231.75</v>
      </c>
      <c r="E8" s="10">
        <f>D8+D8*'Øko. nøgletal'!D5</f>
        <v>238.7025</v>
      </c>
      <c r="F8" s="10">
        <f>E8+E8*'Øko. nøgletal'!E5</f>
        <v>245.863575</v>
      </c>
      <c r="G8" s="10">
        <f>F8+F8*'Øko. nøgletal'!F5</f>
        <v>253.23948225</v>
      </c>
      <c r="H8" s="10">
        <f>G8+G8*'Øko. nøgletal'!G5</f>
        <v>260.8366667175</v>
      </c>
      <c r="I8" s="10">
        <f>H8+H8*'Øko. nøgletal'!H5</f>
        <v>268.661766719025</v>
      </c>
      <c r="J8" s="10">
        <f>I8+I8*'Øko. nøgletal'!I5</f>
        <v>276.72161972059575</v>
      </c>
      <c r="K8" s="10">
        <f>J8+J8*'Øko. nøgletal'!J5</f>
        <v>285.02326831221365</v>
      </c>
      <c r="L8" s="10">
        <f>K8+K8*'Øko. nøgletal'!K5</f>
        <v>293.57396636158006</v>
      </c>
      <c r="M8" s="10">
        <f>L8+L8*'Øko. nøgletal'!L5</f>
        <v>302.38118535242745</v>
      </c>
      <c r="N8" s="10">
        <f>M8+M8*'Øko. nøgletal'!M5</f>
        <v>311.45262091300026</v>
      </c>
    </row>
    <row r="9" spans="3:14" ht="12.75"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13.5" thickBot="1">
      <c r="A10" s="1" t="s">
        <v>16</v>
      </c>
      <c r="B10" s="2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2.75">
      <c r="A11" t="s">
        <v>7</v>
      </c>
      <c r="C11" s="10">
        <v>360</v>
      </c>
      <c r="D11" s="10">
        <f>C11+C11*'Øko. nøgletal'!C5</f>
        <v>370.8</v>
      </c>
      <c r="E11" s="10">
        <f>D11+D11*'Øko. nøgletal'!D5</f>
        <v>381.92400000000004</v>
      </c>
      <c r="F11" s="10">
        <f>E11+E11*'Øko. nøgletal'!E5</f>
        <v>393.38172000000003</v>
      </c>
      <c r="G11" s="10">
        <f>F11+F11*'Øko. nøgletal'!F5</f>
        <v>405.18317160000004</v>
      </c>
      <c r="H11" s="10">
        <f>G11+G11*'Øko. nøgletal'!G5</f>
        <v>417.33866674800004</v>
      </c>
      <c r="I11" s="10">
        <f>H11+H11*'Øko. nøgletal'!H5</f>
        <v>429.85882675044</v>
      </c>
      <c r="J11" s="10">
        <f>I11+I11*'Øko. nøgletal'!I5</f>
        <v>442.75459155295323</v>
      </c>
      <c r="K11" s="10">
        <f>J11+J11*'Øko. nøgletal'!J5</f>
        <v>456.0372292995418</v>
      </c>
      <c r="L11" s="10">
        <f>K11+K11*'Øko. nøgletal'!K5</f>
        <v>469.71834617852807</v>
      </c>
      <c r="M11" s="10">
        <f>L11+L11*'Øko. nøgletal'!L5</f>
        <v>483.8098965638839</v>
      </c>
      <c r="N11" s="10">
        <f>M11+M11*'Øko. nøgletal'!M5</f>
        <v>498.3241934608004</v>
      </c>
    </row>
    <row r="12" spans="1:14" ht="12.75">
      <c r="A12" t="s">
        <v>6</v>
      </c>
      <c r="C12" s="10">
        <v>145</v>
      </c>
      <c r="D12" s="10">
        <f>C12+C12*'Øko. nøgletal'!C5</f>
        <v>149.35</v>
      </c>
      <c r="E12" s="10">
        <f>D12+D12*'Øko. nøgletal'!D5</f>
        <v>153.8305</v>
      </c>
      <c r="F12" s="10">
        <f>E12+E12*'Øko. nøgletal'!E5</f>
        <v>158.445415</v>
      </c>
      <c r="G12" s="10">
        <f>F12+F12*'Øko. nøgletal'!F5</f>
        <v>163.19877745</v>
      </c>
      <c r="H12" s="10">
        <f>G12+G12*'Øko. nøgletal'!G5</f>
        <v>168.0947407735</v>
      </c>
      <c r="I12" s="10">
        <f>H12+H12*'Øko. nøgletal'!H5</f>
        <v>173.13758299670502</v>
      </c>
      <c r="J12" s="10">
        <f>I12+I12*'Øko. nøgletal'!I5</f>
        <v>178.33171048660617</v>
      </c>
      <c r="K12" s="10">
        <f>J12+J12*'Øko. nøgletal'!J5</f>
        <v>183.68166180120434</v>
      </c>
      <c r="L12" s="10">
        <f>K12+K12*'Øko. nøgletal'!K5</f>
        <v>189.19211165524047</v>
      </c>
      <c r="M12" s="10">
        <f>L12+L12*'Øko. nøgletal'!L5</f>
        <v>194.86787500489768</v>
      </c>
      <c r="N12" s="10">
        <f>M12+M12*'Øko. nøgletal'!M5</f>
        <v>200.71391125504462</v>
      </c>
    </row>
    <row r="13" spans="1:14" ht="12.75">
      <c r="A13" t="s">
        <v>133</v>
      </c>
      <c r="C13" s="10">
        <v>475</v>
      </c>
      <c r="D13" s="10">
        <f>C13+C13*'Øko. nøgletal'!C5</f>
        <v>489.25</v>
      </c>
      <c r="E13" s="10">
        <f>D13+D13*'Øko. nøgletal'!D5</f>
        <v>503.9275</v>
      </c>
      <c r="F13" s="10">
        <f>E13+E13*'Øko. nøgletal'!E5</f>
        <v>519.045325</v>
      </c>
      <c r="G13" s="10">
        <f>F13+F13*'Øko. nøgletal'!F5</f>
        <v>534.6166847500001</v>
      </c>
      <c r="H13" s="10">
        <f>G13+G13*'Øko. nøgletal'!G5</f>
        <v>550.6551852925002</v>
      </c>
      <c r="I13" s="10">
        <f>H13+H13*'Øko. nøgletal'!H5</f>
        <v>567.1748408512751</v>
      </c>
      <c r="J13" s="10">
        <f>I13+I13*'Øko. nøgletal'!I5</f>
        <v>584.1900860768134</v>
      </c>
      <c r="K13" s="10">
        <f>J13+J13*'Øko. nøgletal'!J5</f>
        <v>601.7157886591177</v>
      </c>
      <c r="L13" s="10">
        <f>K13+K13*'Øko. nøgletal'!K5</f>
        <v>619.7672623188912</v>
      </c>
      <c r="M13" s="10">
        <f>L13+L13*'Øko. nøgletal'!L5</f>
        <v>638.360280188458</v>
      </c>
      <c r="N13" s="10">
        <f>M13+M13*'Øko. nøgletal'!M5</f>
        <v>657.5110885941117</v>
      </c>
    </row>
    <row r="14" spans="1:14" ht="12.75">
      <c r="A14" t="s">
        <v>17</v>
      </c>
      <c r="C14" s="10">
        <v>120</v>
      </c>
      <c r="D14" s="10">
        <f>C14+C14*'Øko. nøgletal'!C5</f>
        <v>123.6</v>
      </c>
      <c r="E14" s="10">
        <f>D14+D14*'Øko. nøgletal'!D5</f>
        <v>127.30799999999999</v>
      </c>
      <c r="F14" s="10">
        <f>E14+E14*'Øko. nøgletal'!E5</f>
        <v>131.12724</v>
      </c>
      <c r="G14" s="10">
        <f>F14+F14*'Øko. nøgletal'!F5</f>
        <v>135.0610572</v>
      </c>
      <c r="H14" s="10">
        <f>G14+G14*'Øko. nøgletal'!G5</f>
        <v>139.112888916</v>
      </c>
      <c r="I14" s="10">
        <f>H14+H14*'Øko. nøgletal'!H5</f>
        <v>143.28627558348</v>
      </c>
      <c r="J14" s="10">
        <f>I14+I14*'Øko. nøgletal'!I5</f>
        <v>147.5848638509844</v>
      </c>
      <c r="K14" s="10">
        <f>J14+J14*'Øko. nøgletal'!J5</f>
        <v>152.0124097665139</v>
      </c>
      <c r="L14" s="10">
        <f>K14+K14*'Øko. nøgletal'!K5</f>
        <v>156.57278205950934</v>
      </c>
      <c r="M14" s="10">
        <f>L14+L14*'Øko. nøgletal'!L5</f>
        <v>161.2699655212946</v>
      </c>
      <c r="N14" s="10">
        <f>M14+M14*'Øko. nøgletal'!M5</f>
        <v>166.10806448693344</v>
      </c>
    </row>
    <row r="15" spans="3:14" ht="12.75"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2.75">
      <c r="A16" t="s">
        <v>9</v>
      </c>
      <c r="C16" s="10">
        <v>475</v>
      </c>
      <c r="D16" s="10">
        <f>C16+C16*'Øko. nøgletal'!C5</f>
        <v>489.25</v>
      </c>
      <c r="E16" s="10">
        <f>D16+D16*'Øko. nøgletal'!D5</f>
        <v>503.9275</v>
      </c>
      <c r="F16" s="10">
        <f>E16+E16*'Øko. nøgletal'!E5</f>
        <v>519.045325</v>
      </c>
      <c r="G16" s="10">
        <f>F16+F16*'Øko. nøgletal'!F5</f>
        <v>534.6166847500001</v>
      </c>
      <c r="H16" s="10">
        <f>G16+G16*'Øko. nøgletal'!G5</f>
        <v>550.6551852925002</v>
      </c>
      <c r="I16" s="10">
        <f>H16+H16*'Øko. nøgletal'!H5</f>
        <v>567.1748408512751</v>
      </c>
      <c r="J16" s="10">
        <f>I16+I16*'Øko. nøgletal'!I5</f>
        <v>584.1900860768134</v>
      </c>
      <c r="K16" s="10">
        <f>J16+J16*'Øko. nøgletal'!J5</f>
        <v>601.7157886591177</v>
      </c>
      <c r="L16" s="10">
        <f>K16+K16*'Øko. nøgletal'!K5</f>
        <v>619.7672623188912</v>
      </c>
      <c r="M16" s="10">
        <f>L16+L16*'Øko. nøgletal'!L5</f>
        <v>638.360280188458</v>
      </c>
      <c r="N16" s="10">
        <f>M16+M16*'Øko. nøgletal'!M5</f>
        <v>657.5110885941117</v>
      </c>
    </row>
    <row r="17" spans="1:14" ht="12.75">
      <c r="A17" t="s">
        <v>31</v>
      </c>
      <c r="C17" s="10">
        <v>250</v>
      </c>
      <c r="D17" s="10">
        <f>C17+C17*'Øko. nøgletal'!C5</f>
        <v>257.5</v>
      </c>
      <c r="E17" s="10">
        <f>D17+D17*'Øko. nøgletal'!D5</f>
        <v>265.225</v>
      </c>
      <c r="F17" s="10">
        <f>E17+E17*'Øko. nøgletal'!E5</f>
        <v>273.18175</v>
      </c>
      <c r="G17" s="10">
        <f>F17+F17*'Øko. nøgletal'!F5</f>
        <v>281.3772025</v>
      </c>
      <c r="H17" s="10">
        <f>G17+G17*'Øko. nøgletal'!G5</f>
        <v>289.818518575</v>
      </c>
      <c r="I17" s="10">
        <f>H17+H17*'Øko. nøgletal'!H5</f>
        <v>298.51307413225</v>
      </c>
      <c r="J17" s="10">
        <f>I17+I17*'Øko. nøgletal'!I5</f>
        <v>307.4684663562175</v>
      </c>
      <c r="K17" s="10">
        <f>J17+J17*'Øko. nøgletal'!J5</f>
        <v>316.692520346904</v>
      </c>
      <c r="L17" s="10">
        <f>K17+K17*'Øko. nøgletal'!K5</f>
        <v>326.19329595731114</v>
      </c>
      <c r="M17" s="10">
        <f>L17+L17*'Øko. nøgletal'!L5</f>
        <v>335.97909483603047</v>
      </c>
      <c r="N17" s="10">
        <f>M17+M17*'Øko. nøgletal'!M5</f>
        <v>346.0584676811114</v>
      </c>
    </row>
    <row r="18" spans="3:14" ht="12.75"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2.75">
      <c r="A19" t="s">
        <v>10</v>
      </c>
      <c r="C19" s="10">
        <v>240</v>
      </c>
      <c r="D19" s="10">
        <f>C19+C19*'Øko. nøgletal'!C5</f>
        <v>247.2</v>
      </c>
      <c r="E19" s="10">
        <f>D19+D19*'Øko. nøgletal'!D5</f>
        <v>254.61599999999999</v>
      </c>
      <c r="F19" s="10">
        <f>E19+E19*'Øko. nøgletal'!E5</f>
        <v>262.25448</v>
      </c>
      <c r="G19" s="10">
        <f>F19+F19*'Øko. nøgletal'!F5</f>
        <v>270.1221144</v>
      </c>
      <c r="H19" s="10">
        <f>G19+G19*'Øko. nøgletal'!G5</f>
        <v>278.225777832</v>
      </c>
      <c r="I19" s="10">
        <f>H19+H19*'Øko. nøgletal'!H5</f>
        <v>286.57255116696</v>
      </c>
      <c r="J19" s="10">
        <f>I19+I19*'Øko. nøgletal'!I5</f>
        <v>295.1697277019688</v>
      </c>
      <c r="K19" s="10">
        <f>J19+J19*'Øko. nøgletal'!J5</f>
        <v>304.0248195330278</v>
      </c>
      <c r="L19" s="10">
        <f>K19+K19*'Øko. nøgletal'!K5</f>
        <v>313.1455641190187</v>
      </c>
      <c r="M19" s="10">
        <f>L19+L19*'Øko. nøgletal'!L5</f>
        <v>322.5399310425892</v>
      </c>
      <c r="N19" s="10">
        <f>M19+M19*'Øko. nøgletal'!M5</f>
        <v>332.2161289738669</v>
      </c>
    </row>
    <row r="20" spans="1:14" ht="12.75">
      <c r="A20" t="s">
        <v>11</v>
      </c>
      <c r="C20" s="10">
        <v>240</v>
      </c>
      <c r="D20" s="10">
        <f>C20+C20*'Øko. nøgletal'!C5</f>
        <v>247.2</v>
      </c>
      <c r="E20" s="10">
        <f>D20+D20*'Øko. nøgletal'!D5</f>
        <v>254.61599999999999</v>
      </c>
      <c r="F20" s="10">
        <f>E20+E20*'Øko. nøgletal'!E5</f>
        <v>262.25448</v>
      </c>
      <c r="G20" s="10">
        <f>F20+F20*'Øko. nøgletal'!F5</f>
        <v>270.1221144</v>
      </c>
      <c r="H20" s="10">
        <f>G20+G20*'Øko. nøgletal'!G5</f>
        <v>278.225777832</v>
      </c>
      <c r="I20" s="10">
        <f>H20+H20*'Øko. nøgletal'!H5</f>
        <v>286.57255116696</v>
      </c>
      <c r="J20" s="10">
        <f>I20+I20*'Øko. nøgletal'!I5</f>
        <v>295.1697277019688</v>
      </c>
      <c r="K20" s="10">
        <f>J20+J20*'Øko. nøgletal'!J5</f>
        <v>304.0248195330278</v>
      </c>
      <c r="L20" s="10">
        <f>K20+K20*'Øko. nøgletal'!K5</f>
        <v>313.1455641190187</v>
      </c>
      <c r="M20" s="10">
        <f>L20+L20*'Øko. nøgletal'!L5</f>
        <v>322.5399310425892</v>
      </c>
      <c r="N20" s="10">
        <f>M20+M20*'Øko. nøgletal'!M5</f>
        <v>332.2161289738669</v>
      </c>
    </row>
    <row r="21" spans="1:14" ht="12.75">
      <c r="A21" t="s">
        <v>12</v>
      </c>
      <c r="C21" s="10">
        <v>240</v>
      </c>
      <c r="D21" s="10">
        <f>C21+C21*'Øko. nøgletal'!C5</f>
        <v>247.2</v>
      </c>
      <c r="E21" s="10">
        <f>D21+D21*'Øko. nøgletal'!D5</f>
        <v>254.61599999999999</v>
      </c>
      <c r="F21" s="10">
        <f>E21+E21*'Øko. nøgletal'!E5</f>
        <v>262.25448</v>
      </c>
      <c r="G21" s="10">
        <f>F21+F21*'Øko. nøgletal'!F5</f>
        <v>270.1221144</v>
      </c>
      <c r="H21" s="10">
        <f>G21+G21*'Øko. nøgletal'!G5</f>
        <v>278.225777832</v>
      </c>
      <c r="I21" s="10">
        <f>H21+H21*'Øko. nøgletal'!H5</f>
        <v>286.57255116696</v>
      </c>
      <c r="J21" s="10">
        <f>I21+I21*'Øko. nøgletal'!I5</f>
        <v>295.1697277019688</v>
      </c>
      <c r="K21" s="10">
        <f>J21+J21*'Øko. nøgletal'!J5</f>
        <v>304.0248195330278</v>
      </c>
      <c r="L21" s="10">
        <f>K21+K21*'Øko. nøgletal'!K5</f>
        <v>313.1455641190187</v>
      </c>
      <c r="M21" s="10">
        <f>L21+L21*'Øko. nøgletal'!L5</f>
        <v>322.5399310425892</v>
      </c>
      <c r="N21" s="10">
        <f>M21+M21*'Øko. nøgletal'!M5</f>
        <v>332.2161289738669</v>
      </c>
    </row>
    <row r="22" spans="1:14" ht="12.75">
      <c r="A22" t="s">
        <v>13</v>
      </c>
      <c r="C22" s="10">
        <v>650</v>
      </c>
      <c r="D22" s="10">
        <f>C22+C22*'Øko. nøgletal'!C5</f>
        <v>669.5</v>
      </c>
      <c r="E22" s="10">
        <f>D22+D22*'Øko. nøgletal'!D5</f>
        <v>689.585</v>
      </c>
      <c r="F22" s="10">
        <f>E22+E22*'Øko. nøgletal'!E5</f>
        <v>710.27255</v>
      </c>
      <c r="G22" s="10">
        <f>F22+F22*'Øko. nøgletal'!F5</f>
        <v>731.5807265</v>
      </c>
      <c r="H22" s="10">
        <f>G22+G22*'Øko. nøgletal'!G5</f>
        <v>753.5281482949999</v>
      </c>
      <c r="I22" s="10">
        <f>H22+H22*'Øko. nøgletal'!H5</f>
        <v>776.13399274385</v>
      </c>
      <c r="J22" s="10">
        <f>I22+I22*'Øko. nøgletal'!I5</f>
        <v>799.4180125261654</v>
      </c>
      <c r="K22" s="10">
        <f>J22+J22*'Øko. nøgletal'!J5</f>
        <v>823.4005529019504</v>
      </c>
      <c r="L22" s="10">
        <f>K22+K22*'Øko. nøgletal'!K5</f>
        <v>848.1025694890089</v>
      </c>
      <c r="M22" s="10">
        <f>L22+L22*'Øko. nøgletal'!L5</f>
        <v>873.5456465736792</v>
      </c>
      <c r="N22" s="10">
        <f>M22+M22*'Øko. nøgletal'!M5</f>
        <v>899.7520159708895</v>
      </c>
    </row>
    <row r="23" spans="1:14" ht="12.75">
      <c r="A23" t="s">
        <v>132</v>
      </c>
      <c r="C23" s="10">
        <v>2800</v>
      </c>
      <c r="D23" s="10">
        <v>2800</v>
      </c>
      <c r="E23" s="10">
        <v>2800</v>
      </c>
      <c r="F23" s="10">
        <v>2800</v>
      </c>
      <c r="G23" s="10">
        <v>2800</v>
      </c>
      <c r="H23" s="10">
        <v>2800</v>
      </c>
      <c r="I23" s="10">
        <v>2800</v>
      </c>
      <c r="J23" s="10">
        <v>2800</v>
      </c>
      <c r="K23" s="10">
        <v>2800</v>
      </c>
      <c r="L23" s="10">
        <v>2800</v>
      </c>
      <c r="M23" s="10">
        <v>2800</v>
      </c>
      <c r="N23" s="10">
        <v>2800</v>
      </c>
    </row>
    <row r="24" spans="3:14" ht="12.75"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2.75">
      <c r="A25" t="s">
        <v>15</v>
      </c>
      <c r="C25" s="10">
        <v>0</v>
      </c>
      <c r="D25" s="10">
        <f>C25+C25*'Øko. nøgletal'!C5</f>
        <v>0</v>
      </c>
      <c r="E25" s="10">
        <f>D25+D25*'Øko. nøgletal'!D5</f>
        <v>0</v>
      </c>
      <c r="F25" s="10">
        <f>E25+E25*'Øko. nøgletal'!E5</f>
        <v>0</v>
      </c>
      <c r="G25" s="10">
        <f>F25+F25*'Øko. nøgletal'!F5</f>
        <v>0</v>
      </c>
      <c r="H25" s="10">
        <f>G25+G25*'Øko. nøgletal'!G5</f>
        <v>0</v>
      </c>
      <c r="I25" s="10">
        <f>H25+H25*'Øko. nøgletal'!H5</f>
        <v>0</v>
      </c>
      <c r="J25" s="10">
        <f>I25+I25*'Øko. nøgletal'!I5</f>
        <v>0</v>
      </c>
      <c r="K25" s="10">
        <f>J25+J25*'Øko. nøgletal'!J5</f>
        <v>0</v>
      </c>
      <c r="L25" s="10">
        <f>K25+K25*'Øko. nøgletal'!K5</f>
        <v>0</v>
      </c>
      <c r="M25" s="10">
        <f>L25+L25*'Øko. nøgletal'!L5</f>
        <v>0</v>
      </c>
      <c r="N25" s="10">
        <f>M25+M25*'Øko. nøgletal'!M5</f>
        <v>0</v>
      </c>
    </row>
    <row r="26" spans="1:14" ht="12.75">
      <c r="A26" s="3"/>
      <c r="B26" s="3"/>
      <c r="C26" s="22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3" ht="13.5" thickBot="1">
      <c r="A27" s="28" t="s">
        <v>213</v>
      </c>
      <c r="B27" s="28"/>
      <c r="C27" s="28"/>
    </row>
    <row r="28" ht="13.5" thickBot="1"/>
    <row r="29" spans="2:14" ht="13.5" thickBot="1">
      <c r="B29" s="6">
        <v>2008</v>
      </c>
      <c r="C29" s="7">
        <v>2009</v>
      </c>
      <c r="D29" s="7">
        <v>2010</v>
      </c>
      <c r="E29" s="7">
        <v>2011</v>
      </c>
      <c r="F29" s="7">
        <v>2012</v>
      </c>
      <c r="G29" s="7">
        <v>2013</v>
      </c>
      <c r="H29" s="7">
        <v>2014</v>
      </c>
      <c r="I29" s="7">
        <v>2015</v>
      </c>
      <c r="J29" s="7">
        <v>2016</v>
      </c>
      <c r="K29" s="7">
        <v>2017</v>
      </c>
      <c r="L29" s="7">
        <v>2018</v>
      </c>
      <c r="M29" s="7">
        <v>2019</v>
      </c>
      <c r="N29" s="8">
        <v>2020</v>
      </c>
    </row>
    <row r="30" spans="1:2" ht="13.5" thickBot="1">
      <c r="A30" s="1" t="s">
        <v>5</v>
      </c>
      <c r="B30" s="2"/>
    </row>
    <row r="31" spans="1:14" ht="12.75">
      <c r="A31" t="s">
        <v>7</v>
      </c>
      <c r="C31" s="10">
        <v>0</v>
      </c>
      <c r="D31" s="10">
        <f>C31+C31*'Øko. nøgletal'!C5</f>
        <v>0</v>
      </c>
      <c r="E31" s="10">
        <f>D31+D31*'Øko. nøgletal'!D5</f>
        <v>0</v>
      </c>
      <c r="F31" s="10">
        <f>E31+E31*'Øko. nøgletal'!E5</f>
        <v>0</v>
      </c>
      <c r="G31" s="10">
        <f>F31+F31*'Øko. nøgletal'!F5</f>
        <v>0</v>
      </c>
      <c r="H31" s="10">
        <f>G31+G31*'Øko. nøgletal'!G5</f>
        <v>0</v>
      </c>
      <c r="I31" s="10">
        <f>H31+H31*'Øko. nøgletal'!H5</f>
        <v>0</v>
      </c>
      <c r="J31" s="10">
        <f>I31+I31*'Øko. nøgletal'!I5</f>
        <v>0</v>
      </c>
      <c r="K31" s="10">
        <f>J31+J31*'Øko. nøgletal'!J5</f>
        <v>0</v>
      </c>
      <c r="L31" s="10">
        <f>K31+K31*'Øko. nøgletal'!K5</f>
        <v>0</v>
      </c>
      <c r="M31" s="10">
        <f>L31+L31*'Øko. nøgletal'!L5</f>
        <v>0</v>
      </c>
      <c r="N31" s="10">
        <f>M31+M31*'Øko. nøgletal'!M5</f>
        <v>0</v>
      </c>
    </row>
    <row r="32" spans="1:14" ht="12.75">
      <c r="A32" t="s">
        <v>6</v>
      </c>
      <c r="C32" s="10">
        <v>50</v>
      </c>
      <c r="D32" s="10">
        <f>C32+C32*'Øko. nøgletal'!C5</f>
        <v>51.5</v>
      </c>
      <c r="E32" s="10">
        <f>D32+D32*'Øko. nøgletal'!D5</f>
        <v>53.045</v>
      </c>
      <c r="F32" s="10">
        <f>E32+E32*'Øko. nøgletal'!E5</f>
        <v>54.63635</v>
      </c>
      <c r="G32" s="10">
        <f>F32+F32*'Øko. nøgletal'!F5</f>
        <v>56.2754405</v>
      </c>
      <c r="H32" s="10">
        <f>G32+G32*'Øko. nøgletal'!G5</f>
        <v>57.963703715</v>
      </c>
      <c r="I32" s="10">
        <f>H32+H32*'Øko. nøgletal'!H5</f>
        <v>59.70261482645</v>
      </c>
      <c r="J32" s="10">
        <f>I32+I32*'Øko. nøgletal'!I5</f>
        <v>61.4936932712435</v>
      </c>
      <c r="K32" s="10">
        <f>J32+J32*'Øko. nøgletal'!J5</f>
        <v>63.338504069380804</v>
      </c>
      <c r="L32" s="10">
        <f>K32+K32*'Øko. nøgletal'!K5</f>
        <v>65.23865919146223</v>
      </c>
      <c r="M32" s="10">
        <f>L32+L32*'Øko. nøgletal'!L5</f>
        <v>67.1958189672061</v>
      </c>
      <c r="N32" s="10">
        <f>M32+M32*'Øko. nøgletal'!M5</f>
        <v>69.21169353622227</v>
      </c>
    </row>
    <row r="33" spans="1:14" ht="12.75">
      <c r="A33" t="s">
        <v>8</v>
      </c>
      <c r="C33" s="10">
        <v>125</v>
      </c>
      <c r="D33" s="10">
        <f>C33+C33*'Øko. nøgletal'!C5</f>
        <v>128.75</v>
      </c>
      <c r="E33" s="10">
        <f>D33+D33*'Øko. nøgletal'!D5</f>
        <v>132.6125</v>
      </c>
      <c r="F33" s="10">
        <f>E33+E33*'Øko. nøgletal'!E5</f>
        <v>136.590875</v>
      </c>
      <c r="G33" s="10">
        <f>F33+F33*'Øko. nøgletal'!F5</f>
        <v>140.68860125</v>
      </c>
      <c r="H33" s="10">
        <f>G33+G33*'Øko. nøgletal'!G5</f>
        <v>144.9092592875</v>
      </c>
      <c r="I33" s="10">
        <f>H33+H33*'Øko. nøgletal'!H5</f>
        <v>149.256537066125</v>
      </c>
      <c r="J33" s="10">
        <f>I33+I33*'Øko. nøgletal'!I5</f>
        <v>153.73423317810875</v>
      </c>
      <c r="K33" s="10">
        <f>J33+J33*'Øko. nøgletal'!J5</f>
        <v>158.346260173452</v>
      </c>
      <c r="L33" s="10">
        <f>K33+K33*'Øko. nøgletal'!K5</f>
        <v>163.09664797865557</v>
      </c>
      <c r="M33" s="10">
        <f>L33+L33*'Øko. nøgletal'!L5</f>
        <v>167.98954741801523</v>
      </c>
      <c r="N33" s="10">
        <f>M33+M33*'Øko. nøgletal'!M5</f>
        <v>173.0292338405557</v>
      </c>
    </row>
    <row r="34" spans="1:14" ht="12.75">
      <c r="A34" t="s">
        <v>17</v>
      </c>
      <c r="C34" s="10">
        <v>50</v>
      </c>
      <c r="D34" s="10">
        <f>C34+C34*'Øko. nøgletal'!C5</f>
        <v>51.5</v>
      </c>
      <c r="E34" s="10">
        <f>D34+D34*'Øko. nøgletal'!D5</f>
        <v>53.045</v>
      </c>
      <c r="F34" s="10">
        <f>E34+E34*'Øko. nøgletal'!E5</f>
        <v>54.63635</v>
      </c>
      <c r="G34" s="10">
        <f>F34+F34*'Øko. nøgletal'!F5</f>
        <v>56.2754405</v>
      </c>
      <c r="H34" s="10">
        <f>G34+G34*'Øko. nøgletal'!G5</f>
        <v>57.963703715</v>
      </c>
      <c r="I34" s="10">
        <f>H34+H34*'Øko. nøgletal'!H5</f>
        <v>59.70261482645</v>
      </c>
      <c r="J34" s="10">
        <f>I34+I34*'Øko. nøgletal'!I5</f>
        <v>61.4936932712435</v>
      </c>
      <c r="K34" s="10">
        <f>J34+J34*'Øko. nøgletal'!J5</f>
        <v>63.338504069380804</v>
      </c>
      <c r="L34" s="10">
        <f>K34+K34*'Øko. nøgletal'!K5</f>
        <v>65.23865919146223</v>
      </c>
      <c r="M34" s="10">
        <f>L34+L34*'Øko. nøgletal'!L5</f>
        <v>67.1958189672061</v>
      </c>
      <c r="N34" s="10">
        <f>M34+M34*'Øko. nøgletal'!M5</f>
        <v>69.21169353622227</v>
      </c>
    </row>
    <row r="35" spans="3:14" ht="12.75"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ht="13.5" thickBot="1">
      <c r="A36" s="1" t="s">
        <v>16</v>
      </c>
      <c r="B36" s="2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2.75">
      <c r="A37" t="s">
        <v>7</v>
      </c>
      <c r="C37" s="10">
        <v>0</v>
      </c>
      <c r="D37" s="10">
        <f>C37+C37*'Øko. nøgletal'!C5</f>
        <v>0</v>
      </c>
      <c r="E37" s="10">
        <f>D37+D37*'Øko. nøgletal'!D5</f>
        <v>0</v>
      </c>
      <c r="F37" s="10">
        <f>E37+E37*'Øko. nøgletal'!E5</f>
        <v>0</v>
      </c>
      <c r="G37" s="10">
        <f>F37+F37*'Øko. nøgletal'!F5</f>
        <v>0</v>
      </c>
      <c r="H37" s="10">
        <f>G37+G37*'Øko. nøgletal'!G5</f>
        <v>0</v>
      </c>
      <c r="I37" s="10">
        <f>H37+H37*'Øko. nøgletal'!H5</f>
        <v>0</v>
      </c>
      <c r="J37" s="10">
        <f>I37+I37*'Øko. nøgletal'!I5</f>
        <v>0</v>
      </c>
      <c r="K37" s="10">
        <f>J37+J37*'Øko. nøgletal'!J5</f>
        <v>0</v>
      </c>
      <c r="L37" s="10">
        <f>K37+K37*'Øko. nøgletal'!K5</f>
        <v>0</v>
      </c>
      <c r="M37" s="10">
        <f>L37+L37*'Øko. nøgletal'!L5</f>
        <v>0</v>
      </c>
      <c r="N37" s="10">
        <f>M37+M37*'Øko. nøgletal'!M5</f>
        <v>0</v>
      </c>
    </row>
    <row r="38" spans="1:14" ht="12.75">
      <c r="A38" t="s">
        <v>6</v>
      </c>
      <c r="C38" s="10">
        <v>50</v>
      </c>
      <c r="D38" s="10">
        <f>C38+C38*'Øko. nøgletal'!C5</f>
        <v>51.5</v>
      </c>
      <c r="E38" s="10">
        <f>D38+D38*'Øko. nøgletal'!D5</f>
        <v>53.045</v>
      </c>
      <c r="F38" s="10">
        <f>E38+E38*'Øko. nøgletal'!E5</f>
        <v>54.63635</v>
      </c>
      <c r="G38" s="10">
        <f>F38+F38*'Øko. nøgletal'!F5</f>
        <v>56.2754405</v>
      </c>
      <c r="H38" s="10">
        <f>G38+G38*'Øko. nøgletal'!G5</f>
        <v>57.963703715</v>
      </c>
      <c r="I38" s="10">
        <f>H38+H38*'Øko. nøgletal'!H5</f>
        <v>59.70261482645</v>
      </c>
      <c r="J38" s="10">
        <f>I38+I38*'Øko. nøgletal'!I5</f>
        <v>61.4936932712435</v>
      </c>
      <c r="K38" s="10">
        <f>J38+J38*'Øko. nøgletal'!J5</f>
        <v>63.338504069380804</v>
      </c>
      <c r="L38" s="10">
        <f>K38+K38*'Øko. nøgletal'!K5</f>
        <v>65.23865919146223</v>
      </c>
      <c r="M38" s="10">
        <f>L38+L38*'Øko. nøgletal'!L5</f>
        <v>67.1958189672061</v>
      </c>
      <c r="N38" s="10">
        <f>M38+M38*'Øko. nøgletal'!M5</f>
        <v>69.21169353622227</v>
      </c>
    </row>
    <row r="39" spans="1:14" ht="12.75">
      <c r="A39" t="s">
        <v>8</v>
      </c>
      <c r="C39" s="10">
        <v>125</v>
      </c>
      <c r="D39" s="10">
        <f>C39+C39*'Øko. nøgletal'!C5</f>
        <v>128.75</v>
      </c>
      <c r="E39" s="10">
        <f>D39+D39*'Øko. nøgletal'!D5</f>
        <v>132.6125</v>
      </c>
      <c r="F39" s="10">
        <f>E39+E39*'Øko. nøgletal'!E5</f>
        <v>136.590875</v>
      </c>
      <c r="G39" s="10">
        <f>F39+F39*'Øko. nøgletal'!F5</f>
        <v>140.68860125</v>
      </c>
      <c r="H39" s="10">
        <f>G39+G39*'Øko. nøgletal'!G5</f>
        <v>144.9092592875</v>
      </c>
      <c r="I39" s="10">
        <f>H39+H39*'Øko. nøgletal'!H5</f>
        <v>149.256537066125</v>
      </c>
      <c r="J39" s="10">
        <f>I39+I39*'Øko. nøgletal'!I5</f>
        <v>153.73423317810875</v>
      </c>
      <c r="K39" s="10">
        <f>J39+J39*'Øko. nøgletal'!J5</f>
        <v>158.346260173452</v>
      </c>
      <c r="L39" s="10">
        <f>K39+K39*'Øko. nøgletal'!K5</f>
        <v>163.09664797865557</v>
      </c>
      <c r="M39" s="10">
        <f>L39+L39*'Øko. nøgletal'!L5</f>
        <v>167.98954741801523</v>
      </c>
      <c r="N39" s="10">
        <f>M39+M39*'Øko. nøgletal'!M5</f>
        <v>173.0292338405557</v>
      </c>
    </row>
    <row r="40" spans="1:14" ht="12.75">
      <c r="A40" t="s">
        <v>17</v>
      </c>
      <c r="C40" s="10">
        <v>50</v>
      </c>
      <c r="D40" s="10">
        <f>C40+C40*'Øko. nøgletal'!C5</f>
        <v>51.5</v>
      </c>
      <c r="E40" s="10">
        <f>D40+D40*'Øko. nøgletal'!D5</f>
        <v>53.045</v>
      </c>
      <c r="F40" s="10">
        <f>E40+E40*'Øko. nøgletal'!E5</f>
        <v>54.63635</v>
      </c>
      <c r="G40" s="10">
        <f>F40+F40*'Øko. nøgletal'!F5</f>
        <v>56.2754405</v>
      </c>
      <c r="H40" s="10">
        <f>G40+G40*'Øko. nøgletal'!G5</f>
        <v>57.963703715</v>
      </c>
      <c r="I40" s="10">
        <f>H40+H40*'Øko. nøgletal'!H5</f>
        <v>59.70261482645</v>
      </c>
      <c r="J40" s="10">
        <f>I40+I40*'Øko. nøgletal'!I5</f>
        <v>61.4936932712435</v>
      </c>
      <c r="K40" s="10">
        <f>J40+J40*'Øko. nøgletal'!J5</f>
        <v>63.338504069380804</v>
      </c>
      <c r="L40" s="10">
        <f>K40+K40*'Øko. nøgletal'!K5</f>
        <v>65.23865919146223</v>
      </c>
      <c r="M40" s="10">
        <f>L40+L40*'Øko. nøgletal'!L5</f>
        <v>67.1958189672061</v>
      </c>
      <c r="N40" s="10">
        <f>M40+M40*'Øko. nøgletal'!M5</f>
        <v>69.21169353622227</v>
      </c>
    </row>
    <row r="41" spans="3:14" ht="12.75"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2.75">
      <c r="A42" t="s">
        <v>9</v>
      </c>
      <c r="C42" s="10">
        <v>125</v>
      </c>
      <c r="D42" s="10">
        <f>C42+C42*'Øko. nøgletal'!C5</f>
        <v>128.75</v>
      </c>
      <c r="E42" s="10">
        <f>D42+D42*'Øko. nøgletal'!D5</f>
        <v>132.6125</v>
      </c>
      <c r="F42" s="10">
        <f>E42+E42*'Øko. nøgletal'!E5</f>
        <v>136.590875</v>
      </c>
      <c r="G42" s="10">
        <f>F42+F42*'Øko. nøgletal'!F5</f>
        <v>140.68860125</v>
      </c>
      <c r="H42" s="10">
        <f>G42+G42*'Øko. nøgletal'!G5</f>
        <v>144.9092592875</v>
      </c>
      <c r="I42" s="10">
        <f>H42+H42*'Øko. nøgletal'!H5</f>
        <v>149.256537066125</v>
      </c>
      <c r="J42" s="10">
        <f>I42+I42*'Øko. nøgletal'!I5</f>
        <v>153.73423317810875</v>
      </c>
      <c r="K42" s="10">
        <f>J42+J42*'Øko. nøgletal'!J5</f>
        <v>158.346260173452</v>
      </c>
      <c r="L42" s="10">
        <f>K42+K42*'Øko. nøgletal'!K5</f>
        <v>163.09664797865557</v>
      </c>
      <c r="M42" s="10">
        <f>L42+L42*'Øko. nøgletal'!L5</f>
        <v>167.98954741801523</v>
      </c>
      <c r="N42" s="10">
        <f>M42+M42*'Øko. nøgletal'!M5</f>
        <v>173.0292338405557</v>
      </c>
    </row>
    <row r="43" spans="1:14" ht="12.75">
      <c r="A43" t="s">
        <v>31</v>
      </c>
      <c r="C43" s="10">
        <v>50</v>
      </c>
      <c r="D43" s="10">
        <f>C43+C43*'Øko. nøgletal'!C5</f>
        <v>51.5</v>
      </c>
      <c r="E43" s="10">
        <f>D43+D43*'Øko. nøgletal'!D5</f>
        <v>53.045</v>
      </c>
      <c r="F43" s="10">
        <f>E43+E43*'Øko. nøgletal'!E5</f>
        <v>54.63635</v>
      </c>
      <c r="G43" s="10">
        <f>F43+F43*'Øko. nøgletal'!F5</f>
        <v>56.2754405</v>
      </c>
      <c r="H43" s="10">
        <f>G43+G43*'Øko. nøgletal'!G5</f>
        <v>57.963703715</v>
      </c>
      <c r="I43" s="10">
        <f>H43+H43*'Øko. nøgletal'!H5</f>
        <v>59.70261482645</v>
      </c>
      <c r="J43" s="10">
        <f>I43+I43*'Øko. nøgletal'!I5</f>
        <v>61.4936932712435</v>
      </c>
      <c r="K43" s="10">
        <f>J43+J43*'Øko. nøgletal'!J5</f>
        <v>63.338504069380804</v>
      </c>
      <c r="L43" s="10">
        <f>K43+K43*'Øko. nøgletal'!K5</f>
        <v>65.23865919146223</v>
      </c>
      <c r="M43" s="10">
        <f>L43+L43*'Øko. nøgletal'!L5</f>
        <v>67.1958189672061</v>
      </c>
      <c r="N43" s="10">
        <f>M43+M43*'Øko. nøgletal'!M5</f>
        <v>69.21169353622227</v>
      </c>
    </row>
    <row r="44" spans="3:14" ht="12.75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2.75">
      <c r="A45" t="s">
        <v>10</v>
      </c>
      <c r="C45" s="10">
        <v>50</v>
      </c>
      <c r="D45" s="10">
        <f>C45+C45*'Øko. nøgletal'!C5</f>
        <v>51.5</v>
      </c>
      <c r="E45" s="10">
        <f>D45+D45*'Øko. nøgletal'!D5</f>
        <v>53.045</v>
      </c>
      <c r="F45" s="10">
        <f>E45+E45*'Øko. nøgletal'!E5</f>
        <v>54.63635</v>
      </c>
      <c r="G45" s="10">
        <f>F45+F45*'Øko. nøgletal'!F5</f>
        <v>56.2754405</v>
      </c>
      <c r="H45" s="10">
        <f>G45+G45*'Øko. nøgletal'!G5</f>
        <v>57.963703715</v>
      </c>
      <c r="I45" s="10">
        <f>H45+H45*'Øko. nøgletal'!H5</f>
        <v>59.70261482645</v>
      </c>
      <c r="J45" s="10">
        <f>I45+I45*'Øko. nøgletal'!I5</f>
        <v>61.4936932712435</v>
      </c>
      <c r="K45" s="10">
        <f>J45+J45*'Øko. nøgletal'!J5</f>
        <v>63.338504069380804</v>
      </c>
      <c r="L45" s="10">
        <f>K45+K45*'Øko. nøgletal'!K5</f>
        <v>65.23865919146223</v>
      </c>
      <c r="M45" s="10">
        <f>L45+L45*'Øko. nøgletal'!L5</f>
        <v>67.1958189672061</v>
      </c>
      <c r="N45" s="10">
        <f>M45+M45*'Øko. nøgletal'!M5</f>
        <v>69.21169353622227</v>
      </c>
    </row>
    <row r="46" spans="1:14" ht="12.75">
      <c r="A46" t="s">
        <v>11</v>
      </c>
      <c r="C46" s="10">
        <v>0</v>
      </c>
      <c r="D46" s="10">
        <f>C46+C46*'Øko. nøgletal'!C5</f>
        <v>0</v>
      </c>
      <c r="E46" s="10">
        <f>D46+D46*'Øko. nøgletal'!D5</f>
        <v>0</v>
      </c>
      <c r="F46" s="10">
        <f>E46+E46*'Øko. nøgletal'!E5</f>
        <v>0</v>
      </c>
      <c r="G46" s="10">
        <f>F46+F46*'Øko. nøgletal'!F5</f>
        <v>0</v>
      </c>
      <c r="H46" s="10">
        <f>G46+G46*'Øko. nøgletal'!G5</f>
        <v>0</v>
      </c>
      <c r="I46" s="10">
        <f>H46+H46*'Øko. nøgletal'!H5</f>
        <v>0</v>
      </c>
      <c r="J46" s="10">
        <f>I46+I46*'Øko. nøgletal'!I5</f>
        <v>0</v>
      </c>
      <c r="K46" s="10">
        <f>J46+J46*'Øko. nøgletal'!J5</f>
        <v>0</v>
      </c>
      <c r="L46" s="10">
        <f>K46+K46*'Øko. nøgletal'!K5</f>
        <v>0</v>
      </c>
      <c r="M46" s="10">
        <f>L46+L46*'Øko. nøgletal'!L5</f>
        <v>0</v>
      </c>
      <c r="N46" s="10">
        <f>M46+M46*'Øko. nøgletal'!M5</f>
        <v>0</v>
      </c>
    </row>
    <row r="47" spans="1:14" ht="12.75">
      <c r="A47" t="s">
        <v>12</v>
      </c>
      <c r="C47" s="10">
        <v>0</v>
      </c>
      <c r="D47" s="10">
        <f>C47+C47*'Øko. nøgletal'!C5</f>
        <v>0</v>
      </c>
      <c r="E47" s="10">
        <f>D47+D47*'Øko. nøgletal'!D5</f>
        <v>0</v>
      </c>
      <c r="F47" s="10">
        <f>E47+E47*'Øko. nøgletal'!E5</f>
        <v>0</v>
      </c>
      <c r="G47" s="10">
        <f>F47+F47*'Øko. nøgletal'!F5</f>
        <v>0</v>
      </c>
      <c r="H47" s="10">
        <f>G47+G47*'Øko. nøgletal'!G5</f>
        <v>0</v>
      </c>
      <c r="I47" s="10">
        <f>H47+H47*'Øko. nøgletal'!H5</f>
        <v>0</v>
      </c>
      <c r="J47" s="10">
        <f>I47+I47*'Øko. nøgletal'!I5</f>
        <v>0</v>
      </c>
      <c r="K47" s="10">
        <f>J47+J47*'Øko. nøgletal'!J5</f>
        <v>0</v>
      </c>
      <c r="L47" s="10">
        <f>K47+K47*'Øko. nøgletal'!K5</f>
        <v>0</v>
      </c>
      <c r="M47" s="10">
        <f>L47+L47*'Øko. nøgletal'!L5</f>
        <v>0</v>
      </c>
      <c r="N47" s="10">
        <f>M47+M47*'Øko. nøgletal'!M5</f>
        <v>0</v>
      </c>
    </row>
    <row r="48" spans="1:14" ht="12.75">
      <c r="A48" t="s">
        <v>13</v>
      </c>
      <c r="C48" s="10">
        <v>0</v>
      </c>
      <c r="D48" s="10">
        <f>C48+C48*'Øko. nøgletal'!C5</f>
        <v>0</v>
      </c>
      <c r="E48" s="10">
        <f>D48+D48*'Øko. nøgletal'!D5</f>
        <v>0</v>
      </c>
      <c r="F48" s="10">
        <f>E48+E48*'Øko. nøgletal'!E5</f>
        <v>0</v>
      </c>
      <c r="G48" s="10">
        <f>F48+F48*'Øko. nøgletal'!F5</f>
        <v>0</v>
      </c>
      <c r="H48" s="10">
        <f>G48+G48*'Øko. nøgletal'!G5</f>
        <v>0</v>
      </c>
      <c r="I48" s="10">
        <f>H48+H48*'Øko. nøgletal'!H5</f>
        <v>0</v>
      </c>
      <c r="J48" s="10">
        <f>I48+I48*'Øko. nøgletal'!I5</f>
        <v>0</v>
      </c>
      <c r="K48" s="10">
        <f>J48+J48*'Øko. nøgletal'!J5</f>
        <v>0</v>
      </c>
      <c r="L48" s="10">
        <f>K48+K48*'Øko. nøgletal'!K5</f>
        <v>0</v>
      </c>
      <c r="M48" s="10">
        <f>L48+L48*'Øko. nøgletal'!L5</f>
        <v>0</v>
      </c>
      <c r="N48" s="10">
        <f>M48+M48*'Øko. nøgletal'!M5</f>
        <v>0</v>
      </c>
    </row>
    <row r="49" spans="1:14" ht="12.75">
      <c r="A49" t="s">
        <v>14</v>
      </c>
      <c r="C49" s="10">
        <v>0</v>
      </c>
      <c r="D49" s="10">
        <f>C49+C49*'Øko. nøgletal'!C5</f>
        <v>0</v>
      </c>
      <c r="E49" s="10">
        <f>D49+D49*'Øko. nøgletal'!D5</f>
        <v>0</v>
      </c>
      <c r="F49" s="10">
        <f>E49+E49*'Øko. nøgletal'!E5</f>
        <v>0</v>
      </c>
      <c r="G49" s="10">
        <f>F49+F49*'Øko. nøgletal'!F5</f>
        <v>0</v>
      </c>
      <c r="H49" s="10">
        <f>G49+G49*'Øko. nøgletal'!G5</f>
        <v>0</v>
      </c>
      <c r="I49" s="10">
        <f>H49+H49*'Øko. nøgletal'!H5</f>
        <v>0</v>
      </c>
      <c r="J49" s="10">
        <f>I49+I49*'Øko. nøgletal'!I5</f>
        <v>0</v>
      </c>
      <c r="K49" s="10">
        <f>J49+J49*'Øko. nøgletal'!J5</f>
        <v>0</v>
      </c>
      <c r="L49" s="10">
        <f>K49+K49*'Øko. nøgletal'!K5</f>
        <v>0</v>
      </c>
      <c r="M49" s="10">
        <f>L49+L49*'Øko. nøgletal'!L5</f>
        <v>0</v>
      </c>
      <c r="N49" s="10">
        <f>M49+M49*'Øko. nøgletal'!M5</f>
        <v>0</v>
      </c>
    </row>
    <row r="50" spans="3:14" ht="12.75"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2.75">
      <c r="A51" t="s">
        <v>15</v>
      </c>
      <c r="C51" s="10">
        <v>125</v>
      </c>
      <c r="D51" s="10">
        <f>C51+C51*'Øko. nøgletal'!C5</f>
        <v>128.75</v>
      </c>
      <c r="E51" s="10">
        <f>D51+D51*'Øko. nøgletal'!D5</f>
        <v>132.6125</v>
      </c>
      <c r="F51" s="10">
        <f>E51+E51*'Øko. nøgletal'!E5</f>
        <v>136.590875</v>
      </c>
      <c r="G51" s="10">
        <f>F51+F51*'Øko. nøgletal'!F5</f>
        <v>140.68860125</v>
      </c>
      <c r="H51" s="10">
        <f>G51+G51*'Øko. nøgletal'!G5</f>
        <v>144.9092592875</v>
      </c>
      <c r="I51" s="10">
        <f>H51+H51*'Øko. nøgletal'!H5</f>
        <v>149.256537066125</v>
      </c>
      <c r="J51" s="10">
        <f>I51+I51*'Øko. nøgletal'!I5</f>
        <v>153.73423317810875</v>
      </c>
      <c r="K51" s="10">
        <f>J51+J51*'Øko. nøgletal'!J5</f>
        <v>158.346260173452</v>
      </c>
      <c r="L51" s="10">
        <f>K51+K51*'Øko. nøgletal'!K5</f>
        <v>163.09664797865557</v>
      </c>
      <c r="M51" s="10">
        <f>L51+L51*'Øko. nøgletal'!L5</f>
        <v>167.98954741801523</v>
      </c>
      <c r="N51" s="10">
        <f>M51+M51*'Øko. nøgletal'!M5</f>
        <v>173.0292338405557</v>
      </c>
    </row>
    <row r="52" spans="1:14" ht="12.75">
      <c r="A52" t="s">
        <v>218</v>
      </c>
      <c r="C52" s="10">
        <v>250</v>
      </c>
      <c r="D52" s="10">
        <f>C52+C52*'Øko. nøgletal'!C5</f>
        <v>257.5</v>
      </c>
      <c r="E52" s="10">
        <f>D52+D52*'Øko. nøgletal'!D5</f>
        <v>265.225</v>
      </c>
      <c r="F52" s="10">
        <f>E52+E52*'Øko. nøgletal'!E5</f>
        <v>273.18175</v>
      </c>
      <c r="G52" s="10">
        <f>F52+F52*'Øko. nøgletal'!F5</f>
        <v>281.3772025</v>
      </c>
      <c r="H52" s="10">
        <f>G52+G52*'Øko. nøgletal'!G5</f>
        <v>289.818518575</v>
      </c>
      <c r="I52" s="10">
        <f>H52+H52*'Øko. nøgletal'!H5</f>
        <v>298.51307413225</v>
      </c>
      <c r="J52" s="10">
        <f>I52+I52*'Øko. nøgletal'!I5</f>
        <v>307.4684663562175</v>
      </c>
      <c r="K52" s="10">
        <f>J52+J52*'Øko. nøgletal'!J5</f>
        <v>316.692520346904</v>
      </c>
      <c r="L52" s="10">
        <f>K52+K52*'Øko. nøgletal'!K5</f>
        <v>326.19329595731114</v>
      </c>
      <c r="M52" s="10">
        <f>L52+L52*'Øko. nøgletal'!L5</f>
        <v>335.97909483603047</v>
      </c>
      <c r="N52" s="10">
        <f>M52+M52*'Øko. nøgletal'!M5</f>
        <v>346.0584676811114</v>
      </c>
    </row>
    <row r="54" spans="1:3" ht="13.5" thickBot="1">
      <c r="A54" s="28" t="s">
        <v>214</v>
      </c>
      <c r="B54" s="28"/>
      <c r="C54" s="28"/>
    </row>
    <row r="55" ht="13.5" thickBot="1"/>
    <row r="56" spans="2:14" ht="13.5" thickBot="1">
      <c r="B56" s="6">
        <v>2008</v>
      </c>
      <c r="C56" s="7">
        <v>2009</v>
      </c>
      <c r="D56" s="7">
        <v>2010</v>
      </c>
      <c r="E56" s="7">
        <v>2011</v>
      </c>
      <c r="F56" s="7">
        <v>2012</v>
      </c>
      <c r="G56" s="7">
        <v>2013</v>
      </c>
      <c r="H56" s="7">
        <v>2014</v>
      </c>
      <c r="I56" s="7">
        <v>2015</v>
      </c>
      <c r="J56" s="7">
        <v>2016</v>
      </c>
      <c r="K56" s="7">
        <v>2017</v>
      </c>
      <c r="L56" s="7">
        <v>2018</v>
      </c>
      <c r="M56" s="7">
        <v>2019</v>
      </c>
      <c r="N56" s="8">
        <v>2020</v>
      </c>
    </row>
    <row r="57" spans="1:2" ht="13.5" thickBot="1">
      <c r="A57" s="1" t="s">
        <v>5</v>
      </c>
      <c r="B57" s="2"/>
    </row>
    <row r="58" spans="1:14" ht="12.75">
      <c r="A58" t="s">
        <v>7</v>
      </c>
      <c r="C58" s="10">
        <v>0</v>
      </c>
      <c r="D58" s="10">
        <f>C58+C58*'Øko. nøgletal'!C5</f>
        <v>0</v>
      </c>
      <c r="E58" s="10">
        <f>D58+D58*'Øko. nøgletal'!D5</f>
        <v>0</v>
      </c>
      <c r="F58" s="10">
        <f>E58+E58*'Øko. nøgletal'!E5</f>
        <v>0</v>
      </c>
      <c r="G58" s="10">
        <f>F58+F58*'Øko. nøgletal'!F5</f>
        <v>0</v>
      </c>
      <c r="H58" s="10">
        <f>G58+G58*'Øko. nøgletal'!G5</f>
        <v>0</v>
      </c>
      <c r="I58" s="10">
        <f>H58+H58*'Øko. nøgletal'!H5</f>
        <v>0</v>
      </c>
      <c r="J58" s="10">
        <f>I58+I58*'Øko. nøgletal'!I5</f>
        <v>0</v>
      </c>
      <c r="K58" s="10">
        <f>J58+J58*'Øko. nøgletal'!J5</f>
        <v>0</v>
      </c>
      <c r="L58" s="10">
        <f>K58+K58*'Øko. nøgletal'!K5</f>
        <v>0</v>
      </c>
      <c r="M58" s="10">
        <f>L58+L58*'Øko. nøgletal'!L5</f>
        <v>0</v>
      </c>
      <c r="N58" s="10">
        <f>M58+M58*'Øko. nøgletal'!M5</f>
        <v>0</v>
      </c>
    </row>
    <row r="59" spans="1:14" ht="12.75">
      <c r="A59" t="s">
        <v>6</v>
      </c>
      <c r="C59" s="10">
        <v>5</v>
      </c>
      <c r="D59" s="10">
        <f>C59+C59*'Øko. nøgletal'!C5</f>
        <v>5.15</v>
      </c>
      <c r="E59" s="10">
        <f>D59+D59*'Øko. nøgletal'!D5</f>
        <v>5.3045</v>
      </c>
      <c r="F59" s="10">
        <f>E59+E59*'Øko. nøgletal'!E5</f>
        <v>5.463635</v>
      </c>
      <c r="G59" s="10">
        <f>F59+F59*'Øko. nøgletal'!F5</f>
        <v>5.62754405</v>
      </c>
      <c r="H59" s="10">
        <f>G59+G59*'Øko. nøgletal'!G5</f>
        <v>5.7963703715</v>
      </c>
      <c r="I59" s="10">
        <f>H59+H59*'Øko. nøgletal'!H5</f>
        <v>5.970261482645</v>
      </c>
      <c r="J59" s="10">
        <f>I59+I59*'Øko. nøgletal'!I5</f>
        <v>6.14936932712435</v>
      </c>
      <c r="K59" s="10">
        <f>J59+J59*'Øko. nøgletal'!J5</f>
        <v>6.3338504069380805</v>
      </c>
      <c r="L59" s="10">
        <f>K59+K59*'Øko. nøgletal'!K5</f>
        <v>6.523865919146223</v>
      </c>
      <c r="M59" s="10">
        <f>L59+L59*'Øko. nøgletal'!L5</f>
        <v>6.71958189672061</v>
      </c>
      <c r="N59" s="10">
        <f>M59+M59*'Øko. nøgletal'!M5</f>
        <v>6.921169353622227</v>
      </c>
    </row>
    <row r="60" spans="1:14" ht="12.75">
      <c r="A60" t="s">
        <v>8</v>
      </c>
      <c r="C60" s="10">
        <v>10</v>
      </c>
      <c r="D60" s="10">
        <f>C60+C60*'Øko. nøgletal'!C5</f>
        <v>10.3</v>
      </c>
      <c r="E60" s="10">
        <f>D60+D60*'Øko. nøgletal'!D5</f>
        <v>10.609</v>
      </c>
      <c r="F60" s="10">
        <f>E60+E60*'Øko. nøgletal'!E5</f>
        <v>10.92727</v>
      </c>
      <c r="G60" s="10">
        <f>F60+F60*'Øko. nøgletal'!F5</f>
        <v>11.2550881</v>
      </c>
      <c r="H60" s="10">
        <f>G60+G60*'Øko. nøgletal'!G5</f>
        <v>11.592740743</v>
      </c>
      <c r="I60" s="10">
        <f>H60+H60*'Øko. nøgletal'!H5</f>
        <v>11.94052296529</v>
      </c>
      <c r="J60" s="10">
        <f>I60+I60*'Øko. nøgletal'!I5</f>
        <v>12.2987386542487</v>
      </c>
      <c r="K60" s="10">
        <f>J60+J60*'Øko. nøgletal'!J5</f>
        <v>12.667700813876161</v>
      </c>
      <c r="L60" s="10">
        <f>K60+K60*'Øko. nøgletal'!K5</f>
        <v>13.047731838292446</v>
      </c>
      <c r="M60" s="10">
        <f>L60+L60*'Øko. nøgletal'!L5</f>
        <v>13.43916379344122</v>
      </c>
      <c r="N60" s="10">
        <f>M60+M60*'Øko. nøgletal'!M5</f>
        <v>13.842338707244455</v>
      </c>
    </row>
    <row r="61" spans="1:14" ht="12.75">
      <c r="A61" t="s">
        <v>17</v>
      </c>
      <c r="C61" s="10">
        <v>5</v>
      </c>
      <c r="D61" s="10">
        <f>C61+C61*'Øko. nøgletal'!C5</f>
        <v>5.15</v>
      </c>
      <c r="E61" s="10">
        <f>D61+D61*'Øko. nøgletal'!D5</f>
        <v>5.3045</v>
      </c>
      <c r="F61" s="10">
        <f>E61+E61*'Øko. nøgletal'!E5</f>
        <v>5.463635</v>
      </c>
      <c r="G61" s="10">
        <f>F61+F61*'Øko. nøgletal'!F5</f>
        <v>5.62754405</v>
      </c>
      <c r="H61" s="10">
        <f>G61+G61*'Øko. nøgletal'!G5</f>
        <v>5.7963703715</v>
      </c>
      <c r="I61" s="10">
        <f>H61+H61*'Øko. nøgletal'!H5</f>
        <v>5.970261482645</v>
      </c>
      <c r="J61" s="10">
        <f>I61+I61*'Øko. nøgletal'!I5</f>
        <v>6.14936932712435</v>
      </c>
      <c r="K61" s="10">
        <f>J61+J61*'Øko. nøgletal'!J5</f>
        <v>6.3338504069380805</v>
      </c>
      <c r="L61" s="10">
        <f>K61+K61*'Øko. nøgletal'!K5</f>
        <v>6.523865919146223</v>
      </c>
      <c r="M61" s="10">
        <f>L61+L61*'Øko. nøgletal'!L5</f>
        <v>6.71958189672061</v>
      </c>
      <c r="N61" s="10">
        <f>M61+M61*'Øko. nøgletal'!M5</f>
        <v>6.921169353622227</v>
      </c>
    </row>
    <row r="62" spans="3:14" ht="12.75"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3.5" thickBot="1">
      <c r="A63" s="1" t="s">
        <v>16</v>
      </c>
      <c r="B63" s="2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2.75">
      <c r="A64" t="s">
        <v>7</v>
      </c>
      <c r="C64" s="10">
        <v>0</v>
      </c>
      <c r="D64" s="10">
        <f>C64+C64*'Øko. nøgletal'!C5</f>
        <v>0</v>
      </c>
      <c r="E64" s="10">
        <f>D64+D64*'Øko. nøgletal'!D5</f>
        <v>0</v>
      </c>
      <c r="F64" s="10">
        <f>E64+E64*'Øko. nøgletal'!E5</f>
        <v>0</v>
      </c>
      <c r="G64" s="10">
        <f>F64+F64*'Øko. nøgletal'!F5</f>
        <v>0</v>
      </c>
      <c r="H64" s="10">
        <f>G64+G64*'Øko. nøgletal'!G5</f>
        <v>0</v>
      </c>
      <c r="I64" s="10">
        <f>H64+H64*'Øko. nøgletal'!H5</f>
        <v>0</v>
      </c>
      <c r="J64" s="10">
        <f>I64+I64*'Øko. nøgletal'!I5</f>
        <v>0</v>
      </c>
      <c r="K64" s="10">
        <f>J64+J64*'Øko. nøgletal'!J5</f>
        <v>0</v>
      </c>
      <c r="L64" s="10">
        <f>K64+K64*'Øko. nøgletal'!K5</f>
        <v>0</v>
      </c>
      <c r="M64" s="10">
        <f>L64+L64*'Øko. nøgletal'!L5</f>
        <v>0</v>
      </c>
      <c r="N64" s="10">
        <f>M64+M64*'Øko. nøgletal'!M5</f>
        <v>0</v>
      </c>
    </row>
    <row r="65" spans="1:14" ht="12.75">
      <c r="A65" t="s">
        <v>6</v>
      </c>
      <c r="C65" s="10">
        <v>5</v>
      </c>
      <c r="D65" s="10">
        <f>C65+C65*'Øko. nøgletal'!C5</f>
        <v>5.15</v>
      </c>
      <c r="E65" s="10">
        <f>D65+D65*'Øko. nøgletal'!D5</f>
        <v>5.3045</v>
      </c>
      <c r="F65" s="10">
        <f>E65+E65*'Øko. nøgletal'!E5</f>
        <v>5.463635</v>
      </c>
      <c r="G65" s="10">
        <f>F65+F65*'Øko. nøgletal'!F5</f>
        <v>5.62754405</v>
      </c>
      <c r="H65" s="10">
        <f>G65+G65*'Øko. nøgletal'!G5</f>
        <v>5.7963703715</v>
      </c>
      <c r="I65" s="10">
        <f>H65+H65*'Øko. nøgletal'!H5</f>
        <v>5.970261482645</v>
      </c>
      <c r="J65" s="10">
        <f>I65+I65*'Øko. nøgletal'!I5</f>
        <v>6.14936932712435</v>
      </c>
      <c r="K65" s="10">
        <f>J65+J65*'Øko. nøgletal'!J5</f>
        <v>6.3338504069380805</v>
      </c>
      <c r="L65" s="10">
        <f>K65+K65*'Øko. nøgletal'!K5</f>
        <v>6.523865919146223</v>
      </c>
      <c r="M65" s="10">
        <f>L65+L65*'Øko. nøgletal'!L5</f>
        <v>6.71958189672061</v>
      </c>
      <c r="N65" s="10">
        <f>M65+M65*'Øko. nøgletal'!M5</f>
        <v>6.921169353622227</v>
      </c>
    </row>
    <row r="66" spans="1:14" ht="12.75">
      <c r="A66" t="s">
        <v>8</v>
      </c>
      <c r="C66" s="10">
        <v>10</v>
      </c>
      <c r="D66" s="10">
        <f>C66+C66*'Øko. nøgletal'!C5</f>
        <v>10.3</v>
      </c>
      <c r="E66" s="10">
        <f>D66+D66*'Øko. nøgletal'!D5</f>
        <v>10.609</v>
      </c>
      <c r="F66" s="10">
        <f>E66+E66*'Øko. nøgletal'!E5</f>
        <v>10.92727</v>
      </c>
      <c r="G66" s="10">
        <f>F66+F66*'Øko. nøgletal'!F5</f>
        <v>11.2550881</v>
      </c>
      <c r="H66" s="10">
        <f>G66+G66*'Øko. nøgletal'!G5</f>
        <v>11.592740743</v>
      </c>
      <c r="I66" s="10">
        <f>H66+H66*'Øko. nøgletal'!H5</f>
        <v>11.94052296529</v>
      </c>
      <c r="J66" s="10">
        <f>I66+I66*'Øko. nøgletal'!I5</f>
        <v>12.2987386542487</v>
      </c>
      <c r="K66" s="10">
        <f>J66+J66*'Øko. nøgletal'!J5</f>
        <v>12.667700813876161</v>
      </c>
      <c r="L66" s="10">
        <f>K66+K66*'Øko. nøgletal'!K5</f>
        <v>13.047731838292446</v>
      </c>
      <c r="M66" s="10">
        <f>L66+L66*'Øko. nøgletal'!L5</f>
        <v>13.43916379344122</v>
      </c>
      <c r="N66" s="10">
        <f>M66+M66*'Øko. nøgletal'!M5</f>
        <v>13.842338707244455</v>
      </c>
    </row>
    <row r="67" spans="1:14" ht="12.75">
      <c r="A67" t="s">
        <v>17</v>
      </c>
      <c r="C67" s="10">
        <v>5</v>
      </c>
      <c r="D67" s="10">
        <f>C67+C67*'Øko. nøgletal'!C5</f>
        <v>5.15</v>
      </c>
      <c r="E67" s="10">
        <f>D67+D67*'Øko. nøgletal'!D5</f>
        <v>5.3045</v>
      </c>
      <c r="F67" s="10">
        <f>E67+E67*'Øko. nøgletal'!E5</f>
        <v>5.463635</v>
      </c>
      <c r="G67" s="10">
        <f>F67+F67*'Øko. nøgletal'!F5</f>
        <v>5.62754405</v>
      </c>
      <c r="H67" s="10">
        <f>G67+G67*'Øko. nøgletal'!G5</f>
        <v>5.7963703715</v>
      </c>
      <c r="I67" s="10">
        <f>H67+H67*'Øko. nøgletal'!H5</f>
        <v>5.970261482645</v>
      </c>
      <c r="J67" s="10">
        <f>I67+I67*'Øko. nøgletal'!I5</f>
        <v>6.14936932712435</v>
      </c>
      <c r="K67" s="10">
        <f>J67+J67*'Øko. nøgletal'!J5</f>
        <v>6.3338504069380805</v>
      </c>
      <c r="L67" s="10">
        <f>K67+K67*'Øko. nøgletal'!K5</f>
        <v>6.523865919146223</v>
      </c>
      <c r="M67" s="10">
        <f>L67+L67*'Øko. nøgletal'!L5</f>
        <v>6.71958189672061</v>
      </c>
      <c r="N67" s="10">
        <f>M67+M67*'Øko. nøgletal'!M5</f>
        <v>6.921169353622227</v>
      </c>
    </row>
    <row r="68" spans="3:14" ht="12.75"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2.75">
      <c r="A69" t="s">
        <v>9</v>
      </c>
      <c r="C69" s="10">
        <v>10</v>
      </c>
      <c r="D69" s="10">
        <f>C69+C69*'Øko. nøgletal'!C5</f>
        <v>10.3</v>
      </c>
      <c r="E69" s="10">
        <f>D69+D69*'Øko. nøgletal'!D5</f>
        <v>10.609</v>
      </c>
      <c r="F69" s="10">
        <f>E69+E69*'Øko. nøgletal'!E5</f>
        <v>10.92727</v>
      </c>
      <c r="G69" s="10">
        <f>F69+F69*'Øko. nøgletal'!F5</f>
        <v>11.2550881</v>
      </c>
      <c r="H69" s="10">
        <f>G69+G69*'Øko. nøgletal'!G5</f>
        <v>11.592740743</v>
      </c>
      <c r="I69" s="10">
        <f>H69+H69*'Øko. nøgletal'!H5</f>
        <v>11.94052296529</v>
      </c>
      <c r="J69" s="10">
        <f>I69+I69*'Øko. nøgletal'!I5</f>
        <v>12.2987386542487</v>
      </c>
      <c r="K69" s="10">
        <f>J69+J69*'Øko. nøgletal'!J5</f>
        <v>12.667700813876161</v>
      </c>
      <c r="L69" s="10">
        <f>K69+K69*'Øko. nøgletal'!K5</f>
        <v>13.047731838292446</v>
      </c>
      <c r="M69" s="10">
        <f>L69+L69*'Øko. nøgletal'!L5</f>
        <v>13.43916379344122</v>
      </c>
      <c r="N69" s="10">
        <f>M69+M69*'Øko. nøgletal'!M5</f>
        <v>13.842338707244455</v>
      </c>
    </row>
    <row r="70" spans="1:14" ht="12.75">
      <c r="A70" t="s">
        <v>31</v>
      </c>
      <c r="C70" s="10">
        <v>5</v>
      </c>
      <c r="D70" s="10">
        <f>C70+C70*'Øko. nøgletal'!C5</f>
        <v>5.15</v>
      </c>
      <c r="E70" s="10">
        <f>D70+D70*'Øko. nøgletal'!D5</f>
        <v>5.3045</v>
      </c>
      <c r="F70" s="10">
        <f>E70+E70*'Øko. nøgletal'!E5</f>
        <v>5.463635</v>
      </c>
      <c r="G70" s="10">
        <f>F70+F70*'Øko. nøgletal'!F5</f>
        <v>5.62754405</v>
      </c>
      <c r="H70" s="10">
        <f>G70+G70*'Øko. nøgletal'!G5</f>
        <v>5.7963703715</v>
      </c>
      <c r="I70" s="10">
        <f>H70+H70*'Øko. nøgletal'!H5</f>
        <v>5.970261482645</v>
      </c>
      <c r="J70" s="10">
        <f>I70+I70*'Øko. nøgletal'!I5</f>
        <v>6.14936932712435</v>
      </c>
      <c r="K70" s="10">
        <f>J70+J70*'Øko. nøgletal'!J5</f>
        <v>6.3338504069380805</v>
      </c>
      <c r="L70" s="10">
        <f>K70+K70*'Øko. nøgletal'!K5</f>
        <v>6.523865919146223</v>
      </c>
      <c r="M70" s="10">
        <f>L70+L70*'Øko. nøgletal'!L5</f>
        <v>6.71958189672061</v>
      </c>
      <c r="N70" s="10">
        <f>M70+M70*'Øko. nøgletal'!M5</f>
        <v>6.921169353622227</v>
      </c>
    </row>
    <row r="71" spans="3:14" ht="12.75"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2.75">
      <c r="A72" t="s">
        <v>10</v>
      </c>
      <c r="C72" s="10">
        <v>5</v>
      </c>
      <c r="D72" s="10">
        <f>C72+C72*'Øko. nøgletal'!C5</f>
        <v>5.15</v>
      </c>
      <c r="E72" s="10">
        <f>D72+D72*'Øko. nøgletal'!D5</f>
        <v>5.3045</v>
      </c>
      <c r="F72" s="10">
        <f>E72+E72*'Øko. nøgletal'!E5</f>
        <v>5.463635</v>
      </c>
      <c r="G72" s="10">
        <f>F72+F72*'Øko. nøgletal'!F5</f>
        <v>5.62754405</v>
      </c>
      <c r="H72" s="10">
        <f>G72+G72*'Øko. nøgletal'!G5</f>
        <v>5.7963703715</v>
      </c>
      <c r="I72" s="10">
        <f>H72+H72*'Øko. nøgletal'!H5</f>
        <v>5.970261482645</v>
      </c>
      <c r="J72" s="10">
        <f>I72+I72*'Øko. nøgletal'!I5</f>
        <v>6.14936932712435</v>
      </c>
      <c r="K72" s="10">
        <f>J72+J72*'Øko. nøgletal'!J5</f>
        <v>6.3338504069380805</v>
      </c>
      <c r="L72" s="10">
        <f>K72+K72*'Øko. nøgletal'!K5</f>
        <v>6.523865919146223</v>
      </c>
      <c r="M72" s="10">
        <f>L72+L72*'Øko. nøgletal'!L5</f>
        <v>6.71958189672061</v>
      </c>
      <c r="N72" s="10">
        <f>M72+M72*'Øko. nøgletal'!M5</f>
        <v>6.921169353622227</v>
      </c>
    </row>
    <row r="73" spans="1:14" ht="12.75">
      <c r="A73" t="s">
        <v>11</v>
      </c>
      <c r="C73" s="10">
        <v>0</v>
      </c>
      <c r="D73" s="10">
        <f>C73+C73*'Øko. nøgletal'!C5</f>
        <v>0</v>
      </c>
      <c r="E73" s="10">
        <f>D73+D73*'Øko. nøgletal'!D5</f>
        <v>0</v>
      </c>
      <c r="F73" s="10">
        <f>E73+E73*'Øko. nøgletal'!E5</f>
        <v>0</v>
      </c>
      <c r="G73" s="10">
        <f>F73+F73*'Øko. nøgletal'!F5</f>
        <v>0</v>
      </c>
      <c r="H73" s="10">
        <f>G73+G73*'Øko. nøgletal'!G5</f>
        <v>0</v>
      </c>
      <c r="I73" s="10">
        <f>H73+H73*'Øko. nøgletal'!H5</f>
        <v>0</v>
      </c>
      <c r="J73" s="10">
        <f>I73+I73*'Øko. nøgletal'!I5</f>
        <v>0</v>
      </c>
      <c r="K73" s="10">
        <f>J73+J73*'Øko. nøgletal'!J5</f>
        <v>0</v>
      </c>
      <c r="L73" s="10">
        <f>K73+K73*'Øko. nøgletal'!K5</f>
        <v>0</v>
      </c>
      <c r="M73" s="10">
        <f>L73+L73*'Øko. nøgletal'!L5</f>
        <v>0</v>
      </c>
      <c r="N73" s="10">
        <f>M73+M73*'Øko. nøgletal'!M5</f>
        <v>0</v>
      </c>
    </row>
    <row r="74" spans="1:14" ht="12.75">
      <c r="A74" t="s">
        <v>12</v>
      </c>
      <c r="C74" s="10">
        <v>0</v>
      </c>
      <c r="D74" s="10">
        <f>C74+C74*'Øko. nøgletal'!C5</f>
        <v>0</v>
      </c>
      <c r="E74" s="10">
        <f>D74+D74*'Øko. nøgletal'!D5</f>
        <v>0</v>
      </c>
      <c r="F74" s="10">
        <f>E74+E74*'Øko. nøgletal'!E5</f>
        <v>0</v>
      </c>
      <c r="G74" s="10">
        <f>F74+F74*'Øko. nøgletal'!F5</f>
        <v>0</v>
      </c>
      <c r="H74" s="10">
        <f>G74+G74*'Øko. nøgletal'!G5</f>
        <v>0</v>
      </c>
      <c r="I74" s="10">
        <f>H74+H74*'Øko. nøgletal'!H5</f>
        <v>0</v>
      </c>
      <c r="J74" s="10">
        <f>I74+I74*'Øko. nøgletal'!I5</f>
        <v>0</v>
      </c>
      <c r="K74" s="10">
        <f>J74+J74*'Øko. nøgletal'!J5</f>
        <v>0</v>
      </c>
      <c r="L74" s="10">
        <f>K74+K74*'Øko. nøgletal'!K5</f>
        <v>0</v>
      </c>
      <c r="M74" s="10">
        <f>L74+L74*'Øko. nøgletal'!L5</f>
        <v>0</v>
      </c>
      <c r="N74" s="10">
        <f>M74+M74*'Øko. nøgletal'!M5</f>
        <v>0</v>
      </c>
    </row>
    <row r="75" spans="1:14" ht="12.75">
      <c r="A75" t="s">
        <v>13</v>
      </c>
      <c r="C75" s="10">
        <v>0</v>
      </c>
      <c r="D75" s="10">
        <f>C75+C75*'Øko. nøgletal'!C5</f>
        <v>0</v>
      </c>
      <c r="E75" s="10">
        <f>D75+D75*'Øko. nøgletal'!D5</f>
        <v>0</v>
      </c>
      <c r="F75" s="10">
        <f>E75+E75*'Øko. nøgletal'!E5</f>
        <v>0</v>
      </c>
      <c r="G75" s="10">
        <f>F75+F75*'Øko. nøgletal'!F5</f>
        <v>0</v>
      </c>
      <c r="H75" s="10">
        <f>G75+G75*'Øko. nøgletal'!G5</f>
        <v>0</v>
      </c>
      <c r="I75" s="10">
        <f>H75+H75*'Øko. nøgletal'!H5</f>
        <v>0</v>
      </c>
      <c r="J75" s="10">
        <f>I75+I75*'Øko. nøgletal'!I5</f>
        <v>0</v>
      </c>
      <c r="K75" s="10">
        <f>J75+J75*'Øko. nøgletal'!J5</f>
        <v>0</v>
      </c>
      <c r="L75" s="10">
        <f>K75+K75*'Øko. nøgletal'!K5</f>
        <v>0</v>
      </c>
      <c r="M75" s="10">
        <f>L75+L75*'Øko. nøgletal'!L5</f>
        <v>0</v>
      </c>
      <c r="N75" s="10">
        <f>M75+M75*'Øko. nøgletal'!M5</f>
        <v>0</v>
      </c>
    </row>
    <row r="76" spans="1:14" ht="12.75">
      <c r="A76" t="s">
        <v>14</v>
      </c>
      <c r="C76" s="10">
        <v>0</v>
      </c>
      <c r="D76" s="10">
        <f>C76+C76*'Øko. nøgletal'!C5</f>
        <v>0</v>
      </c>
      <c r="E76" s="10">
        <f>D76+D76*'Øko. nøgletal'!D5</f>
        <v>0</v>
      </c>
      <c r="F76" s="10">
        <f>E76+E76*'Øko. nøgletal'!E5</f>
        <v>0</v>
      </c>
      <c r="G76" s="10">
        <f>F76+F76*'Øko. nøgletal'!F5</f>
        <v>0</v>
      </c>
      <c r="H76" s="10">
        <f>G76+G76*'Øko. nøgletal'!G5</f>
        <v>0</v>
      </c>
      <c r="I76" s="10">
        <f>H76+H76*'Øko. nøgletal'!H5</f>
        <v>0</v>
      </c>
      <c r="J76" s="10">
        <f>I76+I76*'Øko. nøgletal'!I5</f>
        <v>0</v>
      </c>
      <c r="K76" s="10">
        <f>J76+J76*'Øko. nøgletal'!J5</f>
        <v>0</v>
      </c>
      <c r="L76" s="10">
        <f>K76+K76*'Øko. nøgletal'!K5</f>
        <v>0</v>
      </c>
      <c r="M76" s="10">
        <f>L76+L76*'Øko. nøgletal'!L5</f>
        <v>0</v>
      </c>
      <c r="N76" s="10">
        <f>M76+M76*'Øko. nøgletal'!M5</f>
        <v>0</v>
      </c>
    </row>
    <row r="77" spans="3:14" ht="12.75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2.75">
      <c r="A78" t="s">
        <v>15</v>
      </c>
      <c r="C78" s="10">
        <v>15</v>
      </c>
      <c r="D78" s="10">
        <f>C78+C78*'Øko. nøgletal'!C5</f>
        <v>15.45</v>
      </c>
      <c r="E78" s="10">
        <f>D78+D78*'Øko. nøgletal'!D5</f>
        <v>15.913499999999999</v>
      </c>
      <c r="F78" s="10">
        <f>E78+E78*'Øko. nøgletal'!E5</f>
        <v>16.390905</v>
      </c>
      <c r="G78" s="10">
        <f>F78+F78*'Øko. nøgletal'!F5</f>
        <v>16.88263215</v>
      </c>
      <c r="H78" s="10">
        <f>G78+G78*'Øko. nøgletal'!G5</f>
        <v>17.3891111145</v>
      </c>
      <c r="I78" s="10">
        <f>H78+H78*'Øko. nøgletal'!H5</f>
        <v>17.910784447935</v>
      </c>
      <c r="J78" s="10">
        <f>I78+I78*'Øko. nøgletal'!I5</f>
        <v>18.44810798137305</v>
      </c>
      <c r="K78" s="10">
        <f>J78+J78*'Øko. nøgletal'!J5</f>
        <v>19.00155122081424</v>
      </c>
      <c r="L78" s="10">
        <f>K78+K78*'Øko. nøgletal'!K5</f>
        <v>19.571597757438667</v>
      </c>
      <c r="M78" s="10">
        <f>L78+L78*'Øko. nøgletal'!L5</f>
        <v>20.158745690161826</v>
      </c>
      <c r="N78" s="10">
        <f>M78+M78*'Øko. nøgletal'!M5</f>
        <v>20.76350806086668</v>
      </c>
    </row>
    <row r="79" spans="1:14" ht="12.75">
      <c r="A79" t="s">
        <v>218</v>
      </c>
      <c r="C79" s="10">
        <v>0</v>
      </c>
      <c r="D79" s="10">
        <f>C79+C79*'Øko. nøgletal'!C5</f>
        <v>0</v>
      </c>
      <c r="E79" s="10">
        <f>D79+D79*'Øko. nøgletal'!D5</f>
        <v>0</v>
      </c>
      <c r="F79" s="10">
        <f>E79+E79*'Øko. nøgletal'!E5</f>
        <v>0</v>
      </c>
      <c r="G79" s="10">
        <f>F79+F79*'Øko. nøgletal'!F5</f>
        <v>0</v>
      </c>
      <c r="H79" s="10">
        <f>G79+G79*'Øko. nøgletal'!G5</f>
        <v>0</v>
      </c>
      <c r="I79" s="10">
        <f>H79+H79*'Øko. nøgletal'!H5</f>
        <v>0</v>
      </c>
      <c r="J79" s="10">
        <f>I79+I79*'Øko. nøgletal'!I5</f>
        <v>0</v>
      </c>
      <c r="K79" s="10">
        <f>J79+J79*'Øko. nøgletal'!J5</f>
        <v>0</v>
      </c>
      <c r="L79" s="10">
        <f>K79+K79*'Øko. nøgletal'!K5</f>
        <v>0</v>
      </c>
      <c r="M79" s="10">
        <f>L79+L79*'Øko. nøgletal'!L5</f>
        <v>0</v>
      </c>
      <c r="N79" s="10">
        <f>M79+M79*'Øko. nøgletal'!M5</f>
        <v>0</v>
      </c>
    </row>
    <row r="81" spans="1:4" ht="13.5" thickBot="1">
      <c r="A81" s="28" t="s">
        <v>32</v>
      </c>
      <c r="B81" s="28"/>
      <c r="C81" s="28"/>
      <c r="D81" s="28"/>
    </row>
    <row r="82" ht="13.5" thickBot="1"/>
    <row r="83" spans="2:14" ht="13.5" thickBot="1">
      <c r="B83" s="6">
        <v>2008</v>
      </c>
      <c r="C83" s="7">
        <v>2009</v>
      </c>
      <c r="D83" s="7">
        <v>2010</v>
      </c>
      <c r="E83" s="7">
        <v>2011</v>
      </c>
      <c r="F83" s="7">
        <v>2012</v>
      </c>
      <c r="G83" s="7">
        <v>2013</v>
      </c>
      <c r="H83" s="7">
        <v>2014</v>
      </c>
      <c r="I83" s="7">
        <v>2015</v>
      </c>
      <c r="J83" s="7">
        <v>2016</v>
      </c>
      <c r="K83" s="7">
        <v>2017</v>
      </c>
      <c r="L83" s="7">
        <v>2018</v>
      </c>
      <c r="M83" s="7">
        <v>2019</v>
      </c>
      <c r="N83" s="8">
        <v>2020</v>
      </c>
    </row>
    <row r="84" spans="1:2" ht="13.5" thickBot="1">
      <c r="A84" s="1" t="s">
        <v>5</v>
      </c>
      <c r="B84" s="2"/>
    </row>
    <row r="85" spans="1:14" ht="12.75">
      <c r="A85" t="s">
        <v>7</v>
      </c>
      <c r="C85" s="10">
        <v>3</v>
      </c>
      <c r="D85" s="10">
        <f>C85+C85*'Øko. nøgletal'!C5</f>
        <v>3.09</v>
      </c>
      <c r="E85" s="10">
        <f>D85+D85*'Øko. nøgletal'!D5</f>
        <v>3.1826999999999996</v>
      </c>
      <c r="F85" s="10">
        <f>E85+E85*'Øko. nøgletal'!E5</f>
        <v>3.2781809999999996</v>
      </c>
      <c r="G85" s="10">
        <f>F85+F85*'Øko. nøgletal'!F5</f>
        <v>3.3765264299999997</v>
      </c>
      <c r="H85" s="10">
        <f>G85+G85*'Øko. nøgletal'!G5</f>
        <v>3.4778222228999995</v>
      </c>
      <c r="I85" s="10">
        <f>H85+H85*'Øko. nøgletal'!H5</f>
        <v>3.5821568895869995</v>
      </c>
      <c r="J85" s="10">
        <f>I85+I85*'Øko. nøgletal'!I5</f>
        <v>3.6896215962746095</v>
      </c>
      <c r="K85" s="10">
        <f>J85+J85*'Øko. nøgletal'!J5</f>
        <v>3.800310244162848</v>
      </c>
      <c r="L85" s="10">
        <f>K85+K85*'Øko. nøgletal'!K5</f>
        <v>3.914319551487733</v>
      </c>
      <c r="M85" s="10">
        <f>L85+L85*'Øko. nøgletal'!L5</f>
        <v>4.031749138032366</v>
      </c>
      <c r="N85" s="10">
        <f>M85+M85*'Øko. nøgletal'!M5</f>
        <v>4.152701612173336</v>
      </c>
    </row>
    <row r="86" spans="1:14" ht="12.75">
      <c r="A86" t="s">
        <v>6</v>
      </c>
      <c r="C86" s="19">
        <v>4.5</v>
      </c>
      <c r="D86" s="19">
        <f>C86+C86*'Øko. nøgletal'!C5</f>
        <v>4.635</v>
      </c>
      <c r="E86" s="19">
        <f>D86+D86*'Øko. nøgletal'!D5</f>
        <v>4.77405</v>
      </c>
      <c r="F86" s="19">
        <f>E86+E86*'Øko. nøgletal'!E5</f>
        <v>4.9172715</v>
      </c>
      <c r="G86" s="19">
        <f>F86+F86*'Øko. nøgletal'!F5</f>
        <v>5.064789645</v>
      </c>
      <c r="H86" s="19">
        <f>G86+G86*'Øko. nøgletal'!G5</f>
        <v>5.216733334350001</v>
      </c>
      <c r="I86" s="19">
        <f>H86+H86*'Øko. nøgletal'!H5</f>
        <v>5.3732353343805</v>
      </c>
      <c r="J86" s="19">
        <f>I86+I86*'Øko. nøgletal'!I5</f>
        <v>5.534432394411915</v>
      </c>
      <c r="K86" s="19">
        <f>J86+J86*'Øko. nøgletal'!J5</f>
        <v>5.700465366244273</v>
      </c>
      <c r="L86" s="19">
        <f>K86+K86*'Øko. nøgletal'!K5</f>
        <v>5.871479327231601</v>
      </c>
      <c r="M86" s="19">
        <f>L86+L86*'Øko. nøgletal'!L5</f>
        <v>6.047623707048549</v>
      </c>
      <c r="N86" s="19">
        <f>M86+M86*'Øko. nøgletal'!M5</f>
        <v>6.2290524182600056</v>
      </c>
    </row>
    <row r="87" spans="1:14" ht="12.75">
      <c r="A87" t="s">
        <v>8</v>
      </c>
      <c r="C87" s="10">
        <v>10</v>
      </c>
      <c r="D87" s="10">
        <f>C87+C87*'Øko. nøgletal'!C5</f>
        <v>10.3</v>
      </c>
      <c r="E87" s="10">
        <f>D87+D87*'Øko. nøgletal'!D5</f>
        <v>10.609</v>
      </c>
      <c r="F87" s="10">
        <f>E87+E87*'Øko. nøgletal'!E5</f>
        <v>10.92727</v>
      </c>
      <c r="G87" s="10">
        <f>F87+F87*'Øko. nøgletal'!F5</f>
        <v>11.2550881</v>
      </c>
      <c r="H87" s="10">
        <f>G87+G87*'Øko. nøgletal'!G5</f>
        <v>11.592740743</v>
      </c>
      <c r="I87" s="10">
        <f>H87+H87*'Øko. nøgletal'!H5</f>
        <v>11.94052296529</v>
      </c>
      <c r="J87" s="10">
        <f>I87+I87*'Øko. nøgletal'!I5</f>
        <v>12.2987386542487</v>
      </c>
      <c r="K87" s="10">
        <f>J87+J87*'Øko. nøgletal'!J5</f>
        <v>12.667700813876161</v>
      </c>
      <c r="L87" s="10">
        <f>K87+K87*'Øko. nøgletal'!K5</f>
        <v>13.047731838292446</v>
      </c>
      <c r="M87" s="10">
        <f>L87+L87*'Øko. nøgletal'!L5</f>
        <v>13.43916379344122</v>
      </c>
      <c r="N87" s="10">
        <f>M87+M87*'Øko. nøgletal'!M5</f>
        <v>13.842338707244455</v>
      </c>
    </row>
    <row r="88" spans="1:14" ht="12.75">
      <c r="A88" t="s">
        <v>17</v>
      </c>
      <c r="C88" s="10">
        <v>4.5</v>
      </c>
      <c r="D88" s="10">
        <f>C88+C88*'Øko. nøgletal'!C5</f>
        <v>4.635</v>
      </c>
      <c r="E88" s="10">
        <f>D88+D88*'Øko. nøgletal'!D5</f>
        <v>4.77405</v>
      </c>
      <c r="F88" s="10">
        <f>E88+E88*'Øko. nøgletal'!E5</f>
        <v>4.9172715</v>
      </c>
      <c r="G88" s="10">
        <f>F88+F88*'Øko. nøgletal'!F5</f>
        <v>5.064789645</v>
      </c>
      <c r="H88" s="10">
        <f>G88+G88*'Øko. nøgletal'!G5</f>
        <v>5.216733334350001</v>
      </c>
      <c r="I88" s="10">
        <f>H88+H88*'Øko. nøgletal'!H5</f>
        <v>5.3732353343805</v>
      </c>
      <c r="J88" s="10">
        <f>I88+I88*'Øko. nøgletal'!I5</f>
        <v>5.534432394411915</v>
      </c>
      <c r="K88" s="10">
        <f>J88+J88*'Øko. nøgletal'!J5</f>
        <v>5.700465366244273</v>
      </c>
      <c r="L88" s="10">
        <f>K88+K88*'Øko. nøgletal'!K5</f>
        <v>5.871479327231601</v>
      </c>
      <c r="M88" s="10">
        <f>L88+L88*'Øko. nøgletal'!L5</f>
        <v>6.047623707048549</v>
      </c>
      <c r="N88" s="10">
        <f>M88+M88*'Øko. nøgletal'!M5</f>
        <v>6.2290524182600056</v>
      </c>
    </row>
    <row r="89" spans="3:14" ht="12.75"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1:14" ht="13.5" thickBot="1">
      <c r="A90" s="1" t="s">
        <v>16</v>
      </c>
      <c r="B90" s="2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</row>
    <row r="91" spans="1:14" ht="12.75">
      <c r="A91" t="s">
        <v>7</v>
      </c>
      <c r="C91" s="10">
        <v>3</v>
      </c>
      <c r="D91" s="10">
        <f>C91+C91*'Øko. nøgletal'!C5</f>
        <v>3.09</v>
      </c>
      <c r="E91" s="10">
        <f>D91+D91*'Øko. nøgletal'!D5</f>
        <v>3.1826999999999996</v>
      </c>
      <c r="F91" s="10">
        <f>E91+E91*'Øko. nøgletal'!E5</f>
        <v>3.2781809999999996</v>
      </c>
      <c r="G91" s="10">
        <f>F91+F91*'Øko. nøgletal'!F5</f>
        <v>3.3765264299999997</v>
      </c>
      <c r="H91" s="10">
        <f>G91+G91*'Øko. nøgletal'!G5</f>
        <v>3.4778222228999995</v>
      </c>
      <c r="I91" s="10">
        <f>H91+H91*'Øko. nøgletal'!H5</f>
        <v>3.5821568895869995</v>
      </c>
      <c r="J91" s="10">
        <f>I91+I91*'Øko. nøgletal'!I5</f>
        <v>3.6896215962746095</v>
      </c>
      <c r="K91" s="10">
        <f>J91+J91*'Øko. nøgletal'!J5</f>
        <v>3.800310244162848</v>
      </c>
      <c r="L91" s="10">
        <f>K91+K91*'Øko. nøgletal'!K5</f>
        <v>3.914319551487733</v>
      </c>
      <c r="M91" s="10">
        <f>L91+L91*'Øko. nøgletal'!L5</f>
        <v>4.031749138032366</v>
      </c>
      <c r="N91" s="10">
        <f>M91+M91*'Øko. nøgletal'!M5</f>
        <v>4.152701612173336</v>
      </c>
    </row>
    <row r="92" spans="1:14" ht="12.75">
      <c r="A92" t="s">
        <v>6</v>
      </c>
      <c r="C92" s="10">
        <v>4.5</v>
      </c>
      <c r="D92" s="10">
        <f>C92+C92*'Øko. nøgletal'!C5</f>
        <v>4.635</v>
      </c>
      <c r="E92" s="10">
        <f>D92+D92*'Øko. nøgletal'!D5</f>
        <v>4.77405</v>
      </c>
      <c r="F92" s="10">
        <f>E92+E92*'Øko. nøgletal'!E5</f>
        <v>4.9172715</v>
      </c>
      <c r="G92" s="10">
        <f>F92+F92*'Øko. nøgletal'!F5</f>
        <v>5.064789645</v>
      </c>
      <c r="H92" s="10">
        <f>G92+G92*'Øko. nøgletal'!G5</f>
        <v>5.216733334350001</v>
      </c>
      <c r="I92" s="10">
        <f>H92+H92*'Øko. nøgletal'!H5</f>
        <v>5.3732353343805</v>
      </c>
      <c r="J92" s="10">
        <f>I92+I92*'Øko. nøgletal'!I5</f>
        <v>5.534432394411915</v>
      </c>
      <c r="K92" s="10">
        <f>J92+J92*'Øko. nøgletal'!J5</f>
        <v>5.700465366244273</v>
      </c>
      <c r="L92" s="10">
        <f>K92+K92*'Øko. nøgletal'!K5</f>
        <v>5.871479327231601</v>
      </c>
      <c r="M92" s="10">
        <f>L92+L92*'Øko. nøgletal'!L5</f>
        <v>6.047623707048549</v>
      </c>
      <c r="N92" s="10">
        <f>M92+M92*'Øko. nøgletal'!M5</f>
        <v>6.2290524182600056</v>
      </c>
    </row>
    <row r="93" spans="1:14" ht="12.75">
      <c r="A93" t="s">
        <v>8</v>
      </c>
      <c r="C93" s="10">
        <v>10</v>
      </c>
      <c r="D93" s="10">
        <f>C93+C93*'Øko. nøgletal'!C5</f>
        <v>10.3</v>
      </c>
      <c r="E93" s="10">
        <f>D93+D93*'Øko. nøgletal'!D5</f>
        <v>10.609</v>
      </c>
      <c r="F93" s="10">
        <f>E93+E93*'Øko. nøgletal'!E5</f>
        <v>10.92727</v>
      </c>
      <c r="G93" s="10">
        <f>F93+F93*'Øko. nøgletal'!F5</f>
        <v>11.2550881</v>
      </c>
      <c r="H93" s="10">
        <f>G93+G93*'Øko. nøgletal'!G5</f>
        <v>11.592740743</v>
      </c>
      <c r="I93" s="10">
        <f>H93+H93*'Øko. nøgletal'!H5</f>
        <v>11.94052296529</v>
      </c>
      <c r="J93" s="10">
        <f>I93+I93*'Øko. nøgletal'!I5</f>
        <v>12.2987386542487</v>
      </c>
      <c r="K93" s="10">
        <f>J93+J93*'Øko. nøgletal'!J5</f>
        <v>12.667700813876161</v>
      </c>
      <c r="L93" s="10">
        <f>K93+K93*'Øko. nøgletal'!K5</f>
        <v>13.047731838292446</v>
      </c>
      <c r="M93" s="10">
        <f>L93+L93*'Øko. nøgletal'!L5</f>
        <v>13.43916379344122</v>
      </c>
      <c r="N93" s="10">
        <f>M93+M93*'Øko. nøgletal'!M5</f>
        <v>13.842338707244455</v>
      </c>
    </row>
    <row r="94" spans="1:14" ht="12.75">
      <c r="A94" t="s">
        <v>17</v>
      </c>
      <c r="C94" s="10">
        <v>4.5</v>
      </c>
      <c r="D94" s="10">
        <f>C94+C94*'Øko. nøgletal'!C5</f>
        <v>4.635</v>
      </c>
      <c r="E94" s="10">
        <f>D94+D94*'Øko. nøgletal'!D5</f>
        <v>4.77405</v>
      </c>
      <c r="F94" s="10">
        <f>E94+E94*'Øko. nøgletal'!E5</f>
        <v>4.9172715</v>
      </c>
      <c r="G94" s="10">
        <f>F94+F94*'Øko. nøgletal'!F5</f>
        <v>5.064789645</v>
      </c>
      <c r="H94" s="10">
        <f>G94+G94*'Øko. nøgletal'!G5</f>
        <v>5.216733334350001</v>
      </c>
      <c r="I94" s="10">
        <f>H94+H94*'Øko. nøgletal'!H5</f>
        <v>5.3732353343805</v>
      </c>
      <c r="J94" s="10">
        <f>I94+I94*'Øko. nøgletal'!I5</f>
        <v>5.534432394411915</v>
      </c>
      <c r="K94" s="10">
        <f>J94+J94*'Øko. nøgletal'!J5</f>
        <v>5.700465366244273</v>
      </c>
      <c r="L94" s="10">
        <f>K94+K94*'Øko. nøgletal'!K5</f>
        <v>5.871479327231601</v>
      </c>
      <c r="M94" s="10">
        <f>L94+L94*'Øko. nøgletal'!L5</f>
        <v>6.047623707048549</v>
      </c>
      <c r="N94" s="10">
        <f>M94+M94*'Øko. nøgletal'!M5</f>
        <v>6.2290524182600056</v>
      </c>
    </row>
    <row r="95" spans="3:14" ht="12.75"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14" ht="12.75">
      <c r="A96" t="s">
        <v>9</v>
      </c>
      <c r="C96" s="10">
        <v>10</v>
      </c>
      <c r="D96" s="10">
        <f>C96+C96*'Øko. nøgletal'!C5</f>
        <v>10.3</v>
      </c>
      <c r="E96" s="10">
        <f>D96+D96*'Øko. nøgletal'!D5</f>
        <v>10.609</v>
      </c>
      <c r="F96" s="10">
        <f>E96+E96*'Øko. nøgletal'!E5</f>
        <v>10.92727</v>
      </c>
      <c r="G96" s="10">
        <f>F96+F96*'Øko. nøgletal'!F5</f>
        <v>11.2550881</v>
      </c>
      <c r="H96" s="10">
        <f>G96+G96*'Øko. nøgletal'!G5</f>
        <v>11.592740743</v>
      </c>
      <c r="I96" s="10">
        <f>H96+H96*'Øko. nøgletal'!H5</f>
        <v>11.94052296529</v>
      </c>
      <c r="J96" s="10">
        <f>I96+I96*'Øko. nøgletal'!I5</f>
        <v>12.2987386542487</v>
      </c>
      <c r="K96" s="10">
        <f>J96+J96*'Øko. nøgletal'!J5</f>
        <v>12.667700813876161</v>
      </c>
      <c r="L96" s="10">
        <f>K96+K96*'Øko. nøgletal'!K5</f>
        <v>13.047731838292446</v>
      </c>
      <c r="M96" s="10">
        <f>L96+L96*'Øko. nøgletal'!L5</f>
        <v>13.43916379344122</v>
      </c>
      <c r="N96" s="10">
        <f>M96+M96*'Øko. nøgletal'!M5</f>
        <v>13.842338707244455</v>
      </c>
    </row>
    <row r="97" spans="1:14" ht="12.75">
      <c r="A97" t="s">
        <v>28</v>
      </c>
      <c r="C97" s="10">
        <v>4.5</v>
      </c>
      <c r="D97" s="10">
        <f>C97+C97*'Øko. nøgletal'!C5</f>
        <v>4.635</v>
      </c>
      <c r="E97" s="10">
        <f>D97+D97*'Øko. nøgletal'!D5</f>
        <v>4.77405</v>
      </c>
      <c r="F97" s="10">
        <f>E97+E97*'Øko. nøgletal'!E5</f>
        <v>4.9172715</v>
      </c>
      <c r="G97" s="10">
        <f>F97+F97*'Øko. nøgletal'!F5</f>
        <v>5.064789645</v>
      </c>
      <c r="H97" s="10">
        <f>G97+G97*'Øko. nøgletal'!G5</f>
        <v>5.216733334350001</v>
      </c>
      <c r="I97" s="10">
        <f>H97+H97*'Øko. nøgletal'!H5</f>
        <v>5.3732353343805</v>
      </c>
      <c r="J97" s="10">
        <f>I97+I97*'Øko. nøgletal'!I5</f>
        <v>5.534432394411915</v>
      </c>
      <c r="K97" s="10">
        <f>J97+J97*'Øko. nøgletal'!J5</f>
        <v>5.700465366244273</v>
      </c>
      <c r="L97" s="10">
        <f>K97+K97*'Øko. nøgletal'!K5</f>
        <v>5.871479327231601</v>
      </c>
      <c r="M97" s="10">
        <f>L97+L97*'Øko. nøgletal'!L5</f>
        <v>6.047623707048549</v>
      </c>
      <c r="N97" s="10">
        <f>M97+M97*'Øko. nøgletal'!M5</f>
        <v>6.2290524182600056</v>
      </c>
    </row>
    <row r="98" spans="3:14" ht="12.75"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1:14" ht="12.75">
      <c r="A99" t="s">
        <v>15</v>
      </c>
      <c r="C99" s="10">
        <v>10</v>
      </c>
      <c r="D99" s="10">
        <f>C99+C99*'Øko. nøgletal'!C5</f>
        <v>10.3</v>
      </c>
      <c r="E99" s="10">
        <f>D99+D99*'Øko. nøgletal'!D5</f>
        <v>10.609</v>
      </c>
      <c r="F99" s="10">
        <f>E99+E99*'Øko. nøgletal'!E5</f>
        <v>10.92727</v>
      </c>
      <c r="G99" s="10">
        <f>F99+F99*'Øko. nøgletal'!F5</f>
        <v>11.2550881</v>
      </c>
      <c r="H99" s="10">
        <f>G99+G99*'Øko. nøgletal'!G5</f>
        <v>11.592740743</v>
      </c>
      <c r="I99" s="10">
        <f>H99+H99*'Øko. nøgletal'!H5</f>
        <v>11.94052296529</v>
      </c>
      <c r="J99" s="10">
        <f>I99+I99*'Øko. nøgletal'!I5</f>
        <v>12.2987386542487</v>
      </c>
      <c r="K99" s="10">
        <f>J99+J99*'Øko. nøgletal'!J5</f>
        <v>12.667700813876161</v>
      </c>
      <c r="L99" s="10">
        <f>K99+K99*'Øko. nøgletal'!K5</f>
        <v>13.047731838292446</v>
      </c>
      <c r="M99" s="10">
        <f>L99+L99*'Øko. nøgletal'!L5</f>
        <v>13.43916379344122</v>
      </c>
      <c r="N99" s="10">
        <f>M99+M99*'Øko. nøgletal'!M5</f>
        <v>13.842338707244455</v>
      </c>
    </row>
    <row r="100" spans="3:14" ht="12.75"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</row>
    <row r="101" spans="1:4" ht="13.5" thickBot="1">
      <c r="A101" s="28" t="s">
        <v>33</v>
      </c>
      <c r="B101" s="28"/>
      <c r="C101" s="28"/>
      <c r="D101" s="28"/>
    </row>
    <row r="102" ht="13.5" thickBot="1"/>
    <row r="103" spans="2:14" ht="13.5" thickBot="1">
      <c r="B103" s="6">
        <v>2008</v>
      </c>
      <c r="C103" s="7">
        <v>2009</v>
      </c>
      <c r="D103" s="7">
        <v>2010</v>
      </c>
      <c r="E103" s="7">
        <v>2011</v>
      </c>
      <c r="F103" s="7">
        <v>2012</v>
      </c>
      <c r="G103" s="7">
        <v>2013</v>
      </c>
      <c r="H103" s="7">
        <v>2014</v>
      </c>
      <c r="I103" s="7">
        <v>2015</v>
      </c>
      <c r="J103" s="7">
        <v>2016</v>
      </c>
      <c r="K103" s="7">
        <v>2017</v>
      </c>
      <c r="L103" s="7">
        <v>2018</v>
      </c>
      <c r="M103" s="7">
        <v>2019</v>
      </c>
      <c r="N103" s="8">
        <v>2020</v>
      </c>
    </row>
    <row r="104" spans="1:2" ht="13.5" thickBot="1">
      <c r="A104" s="1" t="s">
        <v>5</v>
      </c>
      <c r="B104" s="2"/>
    </row>
    <row r="105" spans="1:14" ht="12.75">
      <c r="A105" t="s">
        <v>7</v>
      </c>
      <c r="C105" s="10">
        <v>1.5</v>
      </c>
      <c r="D105" s="10">
        <f>C105+C105*'Øko. nøgletal'!C5</f>
        <v>1.545</v>
      </c>
      <c r="E105" s="10">
        <f>D105+D105*'Øko. nøgletal'!D5</f>
        <v>1.5913499999999998</v>
      </c>
      <c r="F105" s="10">
        <f>E105+E105*'Øko. nøgletal'!E5</f>
        <v>1.6390904999999998</v>
      </c>
      <c r="G105" s="10">
        <f>F105+F105*'Øko. nøgletal'!F5</f>
        <v>1.6882632149999999</v>
      </c>
      <c r="H105" s="10">
        <f>G105+G105*'Øko. nøgletal'!G5</f>
        <v>1.7389111114499998</v>
      </c>
      <c r="I105" s="10">
        <f>H105+H105*'Øko. nøgletal'!H5</f>
        <v>1.7910784447934998</v>
      </c>
      <c r="J105" s="10">
        <f>I105+I105*'Øko. nøgletal'!I5</f>
        <v>1.8448107981373048</v>
      </c>
      <c r="K105" s="10">
        <f>J105+J105*'Øko. nøgletal'!J5</f>
        <v>1.900155122081424</v>
      </c>
      <c r="L105" s="10">
        <f>K105+K105*'Øko. nøgletal'!K5</f>
        <v>1.9571597757438666</v>
      </c>
      <c r="M105" s="10">
        <f>L105+L105*'Øko. nøgletal'!L5</f>
        <v>2.015874569016183</v>
      </c>
      <c r="N105" s="10">
        <f>M105+M105*'Øko. nøgletal'!M5</f>
        <v>2.076350806086668</v>
      </c>
    </row>
    <row r="106" spans="1:14" ht="12.75">
      <c r="A106" t="s">
        <v>6</v>
      </c>
      <c r="C106" s="10">
        <v>3</v>
      </c>
      <c r="D106" s="10">
        <f>C106+C106*'Øko. nøgletal'!C5</f>
        <v>3.09</v>
      </c>
      <c r="E106" s="10">
        <f>D106+D106*'Øko. nøgletal'!D5</f>
        <v>3.1826999999999996</v>
      </c>
      <c r="F106" s="10">
        <f>E106+E106*'Øko. nøgletal'!E5</f>
        <v>3.2781809999999996</v>
      </c>
      <c r="G106" s="10">
        <f>F106+F106*'Øko. nøgletal'!F5</f>
        <v>3.3765264299999997</v>
      </c>
      <c r="H106" s="10">
        <f>G106+G106*'Øko. nøgletal'!G5</f>
        <v>3.4778222228999995</v>
      </c>
      <c r="I106" s="10">
        <f>H106+H106*'Øko. nøgletal'!H5</f>
        <v>3.5821568895869995</v>
      </c>
      <c r="J106" s="10">
        <f>I106+I106*'Øko. nøgletal'!I5</f>
        <v>3.6896215962746095</v>
      </c>
      <c r="K106" s="10">
        <f>J106+J106*'Øko. nøgletal'!J5</f>
        <v>3.800310244162848</v>
      </c>
      <c r="L106" s="10">
        <f>K106+K106*'Øko. nøgletal'!K5</f>
        <v>3.914319551487733</v>
      </c>
      <c r="M106" s="10">
        <f>L106+L106*'Øko. nøgletal'!L5</f>
        <v>4.031749138032366</v>
      </c>
      <c r="N106" s="10">
        <f>M106+M106*'Øko. nøgletal'!M5</f>
        <v>4.152701612173336</v>
      </c>
    </row>
    <row r="107" spans="1:14" ht="12.75">
      <c r="A107" t="s">
        <v>8</v>
      </c>
      <c r="C107" s="10">
        <v>6</v>
      </c>
      <c r="D107" s="10">
        <f>C107+C107*'Øko. nøgletal'!C5</f>
        <v>6.18</v>
      </c>
      <c r="E107" s="10">
        <f>D107+D107*'Øko. nøgletal'!D5</f>
        <v>6.365399999999999</v>
      </c>
      <c r="F107" s="10">
        <f>E107+E107*'Øko. nøgletal'!E5</f>
        <v>6.556361999999999</v>
      </c>
      <c r="G107" s="10">
        <f>F107+F107*'Øko. nøgletal'!F5</f>
        <v>6.7530528599999995</v>
      </c>
      <c r="H107" s="10">
        <f>G107+G107*'Øko. nøgletal'!G5</f>
        <v>6.955644445799999</v>
      </c>
      <c r="I107" s="10">
        <f>H107+H107*'Øko. nøgletal'!H5</f>
        <v>7.164313779173999</v>
      </c>
      <c r="J107" s="10">
        <f>I107+I107*'Øko. nøgletal'!I5</f>
        <v>7.379243192549219</v>
      </c>
      <c r="K107" s="10">
        <f>J107+J107*'Øko. nøgletal'!J5</f>
        <v>7.600620488325696</v>
      </c>
      <c r="L107" s="10">
        <f>K107+K107*'Øko. nøgletal'!K5</f>
        <v>7.828639102975466</v>
      </c>
      <c r="M107" s="10">
        <f>L107+L107*'Øko. nøgletal'!L5</f>
        <v>8.063498276064731</v>
      </c>
      <c r="N107" s="10">
        <f>M107+M107*'Øko. nøgletal'!M5</f>
        <v>8.305403224346673</v>
      </c>
    </row>
    <row r="108" spans="1:14" ht="12.75">
      <c r="A108" t="s">
        <v>17</v>
      </c>
      <c r="C108" s="10">
        <v>3</v>
      </c>
      <c r="D108" s="10">
        <f>C108+C108*'Øko. nøgletal'!C5</f>
        <v>3.09</v>
      </c>
      <c r="E108" s="10">
        <f>D108+D108*'Øko. nøgletal'!D5</f>
        <v>3.1826999999999996</v>
      </c>
      <c r="F108" s="10">
        <f>E108+E108*'Øko. nøgletal'!E5</f>
        <v>3.2781809999999996</v>
      </c>
      <c r="G108" s="10">
        <f>F108+F108*'Øko. nøgletal'!F5</f>
        <v>3.3765264299999997</v>
      </c>
      <c r="H108" s="10">
        <f>G108+G108*'Øko. nøgletal'!G5</f>
        <v>3.4778222228999995</v>
      </c>
      <c r="I108" s="10">
        <f>H108+H108*'Øko. nøgletal'!H5</f>
        <v>3.5821568895869995</v>
      </c>
      <c r="J108" s="10">
        <f>I108+I108*'Øko. nøgletal'!I5</f>
        <v>3.6896215962746095</v>
      </c>
      <c r="K108" s="10">
        <f>J108+J108*'Øko. nøgletal'!J5</f>
        <v>3.800310244162848</v>
      </c>
      <c r="L108" s="10">
        <f>K108+K108*'Øko. nøgletal'!K5</f>
        <v>3.914319551487733</v>
      </c>
      <c r="M108" s="10">
        <f>L108+L108*'Øko. nøgletal'!L5</f>
        <v>4.031749138032366</v>
      </c>
      <c r="N108" s="10">
        <f>M108+M108*'Øko. nøgletal'!M5</f>
        <v>4.152701612173336</v>
      </c>
    </row>
    <row r="109" spans="3:14" ht="12.75"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1:14" ht="13.5" thickBot="1">
      <c r="A110" s="1" t="s">
        <v>16</v>
      </c>
      <c r="B110" s="2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12.75">
      <c r="A111" t="s">
        <v>7</v>
      </c>
      <c r="C111" s="10">
        <v>1.5</v>
      </c>
      <c r="D111" s="10">
        <f>C111+C111*'Øko. nøgletal'!C5</f>
        <v>1.545</v>
      </c>
      <c r="E111" s="10">
        <f>D111+D111*'Øko. nøgletal'!D5</f>
        <v>1.5913499999999998</v>
      </c>
      <c r="F111" s="10">
        <f>E111+E111*'Øko. nøgletal'!E5</f>
        <v>1.6390904999999998</v>
      </c>
      <c r="G111" s="10">
        <f>F111+F111*'Øko. nøgletal'!F5</f>
        <v>1.6882632149999999</v>
      </c>
      <c r="H111" s="10">
        <f>G111+G111*'Øko. nøgletal'!G5</f>
        <v>1.7389111114499998</v>
      </c>
      <c r="I111" s="10">
        <f>H111+H111*'Øko. nøgletal'!H5</f>
        <v>1.7910784447934998</v>
      </c>
      <c r="J111" s="10">
        <f>I111+I111*'Øko. nøgletal'!I5</f>
        <v>1.8448107981373048</v>
      </c>
      <c r="K111" s="10">
        <f>J111+J111*'Øko. nøgletal'!J5</f>
        <v>1.900155122081424</v>
      </c>
      <c r="L111" s="10">
        <f>K111+K111*'Øko. nøgletal'!K5</f>
        <v>1.9571597757438666</v>
      </c>
      <c r="M111" s="10">
        <f>L111+L111*'Øko. nøgletal'!L5</f>
        <v>2.015874569016183</v>
      </c>
      <c r="N111" s="10">
        <f>M111+M111*'Øko. nøgletal'!M5</f>
        <v>2.076350806086668</v>
      </c>
    </row>
    <row r="112" spans="1:14" ht="12.75">
      <c r="A112" t="s">
        <v>6</v>
      </c>
      <c r="C112" s="10">
        <v>3</v>
      </c>
      <c r="D112" s="10">
        <f>C112+C112*'Øko. nøgletal'!C5</f>
        <v>3.09</v>
      </c>
      <c r="E112" s="10">
        <f>D112+D112*'Øko. nøgletal'!D5</f>
        <v>3.1826999999999996</v>
      </c>
      <c r="F112" s="10">
        <f>E112+E112*'Øko. nøgletal'!E5</f>
        <v>3.2781809999999996</v>
      </c>
      <c r="G112" s="10">
        <f>F112+F112*'Øko. nøgletal'!F5</f>
        <v>3.3765264299999997</v>
      </c>
      <c r="H112" s="10">
        <f>G112+G112*'Øko. nøgletal'!G5</f>
        <v>3.4778222228999995</v>
      </c>
      <c r="I112" s="10">
        <f>H112+H112*'Øko. nøgletal'!H5</f>
        <v>3.5821568895869995</v>
      </c>
      <c r="J112" s="10">
        <f>I112+I112*'Øko. nøgletal'!I5</f>
        <v>3.6896215962746095</v>
      </c>
      <c r="K112" s="10">
        <f>J112+J112*'Øko. nøgletal'!J5</f>
        <v>3.800310244162848</v>
      </c>
      <c r="L112" s="10">
        <f>K112+K112*'Øko. nøgletal'!K5</f>
        <v>3.914319551487733</v>
      </c>
      <c r="M112" s="10">
        <f>L112+L112*'Øko. nøgletal'!L5</f>
        <v>4.031749138032366</v>
      </c>
      <c r="N112" s="10">
        <f>M112+M112*'Øko. nøgletal'!M5</f>
        <v>4.152701612173336</v>
      </c>
    </row>
    <row r="113" spans="1:14" ht="12.75">
      <c r="A113" t="s">
        <v>8</v>
      </c>
      <c r="C113" s="10">
        <v>6</v>
      </c>
      <c r="D113" s="10">
        <f>C113+C113*'Øko. nøgletal'!C5</f>
        <v>6.18</v>
      </c>
      <c r="E113" s="10">
        <f>D113+D113*'Øko. nøgletal'!D5</f>
        <v>6.365399999999999</v>
      </c>
      <c r="F113" s="10">
        <f>E113+E113*'Øko. nøgletal'!E5</f>
        <v>6.556361999999999</v>
      </c>
      <c r="G113" s="10">
        <f>F113+F113*'Øko. nøgletal'!F5</f>
        <v>6.7530528599999995</v>
      </c>
      <c r="H113" s="10">
        <f>G113+G113*'Øko. nøgletal'!G5</f>
        <v>6.955644445799999</v>
      </c>
      <c r="I113" s="10">
        <f>H113+H113*'Øko. nøgletal'!H5</f>
        <v>7.164313779173999</v>
      </c>
      <c r="J113" s="10">
        <f>I113+I113*'Øko. nøgletal'!I5</f>
        <v>7.379243192549219</v>
      </c>
      <c r="K113" s="10">
        <f>J113+J113*'Øko. nøgletal'!J5</f>
        <v>7.600620488325696</v>
      </c>
      <c r="L113" s="10">
        <f>K113+K113*'Øko. nøgletal'!K5</f>
        <v>7.828639102975466</v>
      </c>
      <c r="M113" s="10">
        <f>L113+L113*'Øko. nøgletal'!L5</f>
        <v>8.063498276064731</v>
      </c>
      <c r="N113" s="10">
        <f>M113+M113*'Øko. nøgletal'!M5</f>
        <v>8.305403224346673</v>
      </c>
    </row>
    <row r="114" spans="1:14" ht="12.75">
      <c r="A114" t="s">
        <v>17</v>
      </c>
      <c r="C114" s="10">
        <v>3</v>
      </c>
      <c r="D114" s="10">
        <f>C114+C114*'Øko. nøgletal'!C5</f>
        <v>3.09</v>
      </c>
      <c r="E114" s="10">
        <f>D114+D114*'Øko. nøgletal'!D5</f>
        <v>3.1826999999999996</v>
      </c>
      <c r="F114" s="10">
        <f>E114+E114*'Øko. nøgletal'!E5</f>
        <v>3.2781809999999996</v>
      </c>
      <c r="G114" s="10">
        <f>F114+F114*'Øko. nøgletal'!F5</f>
        <v>3.3765264299999997</v>
      </c>
      <c r="H114" s="10">
        <f>G114+G114*'Øko. nøgletal'!G5</f>
        <v>3.4778222228999995</v>
      </c>
      <c r="I114" s="10">
        <f>H114+H114*'Øko. nøgletal'!H5</f>
        <v>3.5821568895869995</v>
      </c>
      <c r="J114" s="10">
        <f>I114+I114*'Øko. nøgletal'!I5</f>
        <v>3.6896215962746095</v>
      </c>
      <c r="K114" s="10">
        <f>J114+J114*'Øko. nøgletal'!J5</f>
        <v>3.800310244162848</v>
      </c>
      <c r="L114" s="10">
        <f>K114+K114*'Øko. nøgletal'!K5</f>
        <v>3.914319551487733</v>
      </c>
      <c r="M114" s="10">
        <f>L114+L114*'Øko. nøgletal'!L5</f>
        <v>4.031749138032366</v>
      </c>
      <c r="N114" s="10">
        <f>M114+M114*'Øko. nøgletal'!M5</f>
        <v>4.152701612173336</v>
      </c>
    </row>
    <row r="115" spans="3:14" ht="12.75"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</row>
    <row r="116" spans="1:14" ht="12.75">
      <c r="A116" t="s">
        <v>9</v>
      </c>
      <c r="C116" s="10">
        <v>6</v>
      </c>
      <c r="D116" s="10">
        <f>C116+C116*'Øko. nøgletal'!C5</f>
        <v>6.18</v>
      </c>
      <c r="E116" s="10">
        <f>D116+D116*'Øko. nøgletal'!D5</f>
        <v>6.365399999999999</v>
      </c>
      <c r="F116" s="10">
        <f>E116+E116*'Øko. nøgletal'!E5</f>
        <v>6.556361999999999</v>
      </c>
      <c r="G116" s="10">
        <f>F116+F116*'Øko. nøgletal'!F5</f>
        <v>6.7530528599999995</v>
      </c>
      <c r="H116" s="10">
        <f>G116+G116*'Øko. nøgletal'!G5</f>
        <v>6.955644445799999</v>
      </c>
      <c r="I116" s="10">
        <f>H116+H116*'Øko. nøgletal'!H5</f>
        <v>7.164313779173999</v>
      </c>
      <c r="J116" s="10">
        <f>I116+I116*'Øko. nøgletal'!I5</f>
        <v>7.379243192549219</v>
      </c>
      <c r="K116" s="10">
        <f>J116+J116*'Øko. nøgletal'!J5</f>
        <v>7.600620488325696</v>
      </c>
      <c r="L116" s="10">
        <f>K116+K116*'Øko. nøgletal'!K5</f>
        <v>7.828639102975466</v>
      </c>
      <c r="M116" s="10">
        <f>L116+L116*'Øko. nøgletal'!L5</f>
        <v>8.063498276064731</v>
      </c>
      <c r="N116" s="10">
        <f>M116+M116*'Øko. nøgletal'!M5</f>
        <v>8.305403224346673</v>
      </c>
    </row>
    <row r="117" spans="1:14" ht="12.75">
      <c r="A117" t="s">
        <v>28</v>
      </c>
      <c r="C117" s="10">
        <v>3</v>
      </c>
      <c r="D117" s="10">
        <f>C117+C117*'Øko. nøgletal'!C5</f>
        <v>3.09</v>
      </c>
      <c r="E117" s="10">
        <f>D117+D117*'Øko. nøgletal'!D5</f>
        <v>3.1826999999999996</v>
      </c>
      <c r="F117" s="10">
        <f>E117+E117*'Øko. nøgletal'!E5</f>
        <v>3.2781809999999996</v>
      </c>
      <c r="G117" s="10">
        <f>F117+F117*'Øko. nøgletal'!F5</f>
        <v>3.3765264299999997</v>
      </c>
      <c r="H117" s="10">
        <f>G117+G117*'Øko. nøgletal'!G5</f>
        <v>3.4778222228999995</v>
      </c>
      <c r="I117" s="10">
        <f>H117+H117*'Øko. nøgletal'!H5</f>
        <v>3.5821568895869995</v>
      </c>
      <c r="J117" s="10">
        <f>I117+I117*'Øko. nøgletal'!I5</f>
        <v>3.6896215962746095</v>
      </c>
      <c r="K117" s="10">
        <f>J117+J117*'Øko. nøgletal'!J5</f>
        <v>3.800310244162848</v>
      </c>
      <c r="L117" s="10">
        <f>K117+K117*'Øko. nøgletal'!K5</f>
        <v>3.914319551487733</v>
      </c>
      <c r="M117" s="10">
        <f>L117+L117*'Øko. nøgletal'!L5</f>
        <v>4.031749138032366</v>
      </c>
      <c r="N117" s="10">
        <f>M117+M117*'Øko. nøgletal'!M5</f>
        <v>4.152701612173336</v>
      </c>
    </row>
    <row r="118" spans="3:14" ht="12.75"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 spans="1:14" ht="12.75">
      <c r="A119" t="s">
        <v>15</v>
      </c>
      <c r="C119" s="10">
        <v>15</v>
      </c>
      <c r="D119" s="10">
        <f>C119+C119*'Øko. nøgletal'!C5</f>
        <v>15.45</v>
      </c>
      <c r="E119" s="10">
        <f>D119+D119*'Øko. nøgletal'!D5</f>
        <v>15.913499999999999</v>
      </c>
      <c r="F119" s="10">
        <f>E119+E119*'Øko. nøgletal'!E5</f>
        <v>16.390905</v>
      </c>
      <c r="G119" s="10">
        <f>F119+F119*'Øko. nøgletal'!F5</f>
        <v>16.88263215</v>
      </c>
      <c r="H119" s="10">
        <f>G119+G119*'Øko. nøgletal'!G5</f>
        <v>17.3891111145</v>
      </c>
      <c r="I119" s="10">
        <f>H119+H119*'Øko. nøgletal'!H5</f>
        <v>17.910784447935</v>
      </c>
      <c r="J119" s="10">
        <f>I119+I119*'Øko. nøgletal'!I5</f>
        <v>18.44810798137305</v>
      </c>
      <c r="K119" s="10">
        <f>J119+J119*'Øko. nøgletal'!J5</f>
        <v>19.00155122081424</v>
      </c>
      <c r="L119" s="10">
        <f>K119+K119*'Øko. nøgletal'!K5</f>
        <v>19.571597757438667</v>
      </c>
      <c r="M119" s="10">
        <f>L119+L119*'Øko. nøgletal'!L5</f>
        <v>20.158745690161826</v>
      </c>
      <c r="N119" s="10">
        <f>M119+M119*'Øko. nøgletal'!M5</f>
        <v>20.76350806086668</v>
      </c>
    </row>
    <row r="120" ht="13.5" thickBot="1"/>
    <row r="121" spans="2:14" ht="13.5" thickBot="1">
      <c r="B121" s="6">
        <v>2008</v>
      </c>
      <c r="C121" s="7">
        <v>2009</v>
      </c>
      <c r="D121" s="7">
        <v>2010</v>
      </c>
      <c r="E121" s="7">
        <v>2011</v>
      </c>
      <c r="F121" s="7">
        <v>2012</v>
      </c>
      <c r="G121" s="7">
        <v>2013</v>
      </c>
      <c r="H121" s="7">
        <v>2014</v>
      </c>
      <c r="I121" s="7">
        <v>2015</v>
      </c>
      <c r="J121" s="7">
        <v>2016</v>
      </c>
      <c r="K121" s="7">
        <v>2017</v>
      </c>
      <c r="L121" s="7">
        <v>2018</v>
      </c>
      <c r="M121" s="7">
        <v>2019</v>
      </c>
      <c r="N121" s="8">
        <v>2020</v>
      </c>
    </row>
    <row r="123" ht="12.75">
      <c r="A123" t="s">
        <v>34</v>
      </c>
    </row>
    <row r="124" ht="13.5" thickBot="1">
      <c r="A124" s="1" t="s">
        <v>35</v>
      </c>
    </row>
    <row r="125" ht="12.75">
      <c r="A125" t="s">
        <v>20</v>
      </c>
    </row>
    <row r="126" ht="12.75">
      <c r="A126" t="s">
        <v>21</v>
      </c>
    </row>
    <row r="127" ht="12.75">
      <c r="A127" t="s">
        <v>22</v>
      </c>
    </row>
    <row r="128" ht="12.75">
      <c r="A128" t="s">
        <v>16</v>
      </c>
    </row>
    <row r="129" ht="12.75">
      <c r="A129" t="s">
        <v>23</v>
      </c>
    </row>
    <row r="130" ht="12.75">
      <c r="A130" t="s">
        <v>24</v>
      </c>
    </row>
    <row r="131" ht="12.75">
      <c r="A131" t="s">
        <v>25</v>
      </c>
    </row>
    <row r="132" ht="12.75">
      <c r="A132" t="s">
        <v>26</v>
      </c>
    </row>
    <row r="133" spans="1:14" ht="13.5" thickBot="1">
      <c r="A133" s="5" t="s">
        <v>220</v>
      </c>
      <c r="B133" s="5">
        <f>SUM(B125:B132)</f>
        <v>0</v>
      </c>
      <c r="C133" s="5">
        <f aca="true" t="shared" si="0" ref="C133:N133">SUM(C125:C132)</f>
        <v>0</v>
      </c>
      <c r="D133" s="5">
        <f t="shared" si="0"/>
        <v>0</v>
      </c>
      <c r="E133" s="5">
        <f t="shared" si="0"/>
        <v>0</v>
      </c>
      <c r="F133" s="5">
        <f t="shared" si="0"/>
        <v>0</v>
      </c>
      <c r="G133" s="5">
        <f t="shared" si="0"/>
        <v>0</v>
      </c>
      <c r="H133" s="5">
        <f t="shared" si="0"/>
        <v>0</v>
      </c>
      <c r="I133" s="5">
        <f t="shared" si="0"/>
        <v>0</v>
      </c>
      <c r="J133" s="5">
        <f t="shared" si="0"/>
        <v>0</v>
      </c>
      <c r="K133" s="5">
        <f t="shared" si="0"/>
        <v>0</v>
      </c>
      <c r="L133" s="5">
        <f t="shared" si="0"/>
        <v>0</v>
      </c>
      <c r="M133" s="5">
        <f t="shared" si="0"/>
        <v>0</v>
      </c>
      <c r="N133" s="5">
        <f t="shared" si="0"/>
        <v>0</v>
      </c>
    </row>
    <row r="134" ht="13.5" thickTop="1"/>
    <row r="135" ht="13.5" thickBot="1">
      <c r="A135" s="1" t="s">
        <v>36</v>
      </c>
    </row>
    <row r="136" spans="1:14" ht="12.75">
      <c r="A136" t="s">
        <v>7</v>
      </c>
      <c r="B136" s="10">
        <v>0</v>
      </c>
      <c r="C136" s="10">
        <v>500</v>
      </c>
      <c r="D136" s="10">
        <f>C136+C136*'Øko. nøgletal'!C5</f>
        <v>515</v>
      </c>
      <c r="E136" s="10">
        <f>D136+D136*'Øko. nøgletal'!D5</f>
        <v>530.45</v>
      </c>
      <c r="F136" s="10">
        <f>E136+E136*'Øko. nøgletal'!E5</f>
        <v>546.3635</v>
      </c>
      <c r="G136" s="10">
        <f>F136+F136*'Øko. nøgletal'!F5</f>
        <v>562.754405</v>
      </c>
      <c r="H136" s="10">
        <f>G136+G136*'Øko. nøgletal'!G5</f>
        <v>579.63703715</v>
      </c>
      <c r="I136" s="10">
        <f>H136+H136*'Øko. nøgletal'!H5</f>
        <v>597.0261482645</v>
      </c>
      <c r="J136" s="10">
        <f>I136+I136*'Øko. nøgletal'!I5</f>
        <v>614.936932712435</v>
      </c>
      <c r="K136" s="10">
        <f>J136+J136*'Øko. nøgletal'!J5</f>
        <v>633.385040693808</v>
      </c>
      <c r="L136" s="10">
        <f>K136+K136*'Øko. nøgletal'!K5</f>
        <v>652.3865919146223</v>
      </c>
      <c r="M136" s="10">
        <f>L136+L136*'Øko. nøgletal'!L5</f>
        <v>671.9581896720609</v>
      </c>
      <c r="N136" s="10">
        <f>M136+M136*'Øko. nøgletal'!M5</f>
        <v>692.1169353622228</v>
      </c>
    </row>
    <row r="137" spans="1:14" ht="12.75">
      <c r="A137" t="s">
        <v>6</v>
      </c>
      <c r="B137" s="10">
        <v>0</v>
      </c>
      <c r="C137" s="10">
        <v>1000</v>
      </c>
      <c r="D137" s="10">
        <f>C137+C137*'Øko. nøgletal'!C5</f>
        <v>1030</v>
      </c>
      <c r="E137" s="10">
        <f>D137+D137*'Øko. nøgletal'!D5</f>
        <v>1060.9</v>
      </c>
      <c r="F137" s="10">
        <f>E137+E137*'Øko. nøgletal'!E5</f>
        <v>1092.727</v>
      </c>
      <c r="G137" s="10">
        <f>F137+F137*'Øko. nøgletal'!F5</f>
        <v>1125.50881</v>
      </c>
      <c r="H137" s="10">
        <f>G137+G137*'Øko. nøgletal'!G5</f>
        <v>1159.2740743</v>
      </c>
      <c r="I137" s="10">
        <f>H137+H137*'Øko. nøgletal'!H5</f>
        <v>1194.052296529</v>
      </c>
      <c r="J137" s="10">
        <f>I137+I137*'Øko. nøgletal'!I5</f>
        <v>1229.87386542487</v>
      </c>
      <c r="K137" s="10">
        <f>J137+J137*'Øko. nøgletal'!J5</f>
        <v>1266.770081387616</v>
      </c>
      <c r="L137" s="10">
        <f>K137+K137*'Øko. nøgletal'!K5</f>
        <v>1304.7731838292445</v>
      </c>
      <c r="M137" s="10">
        <f>L137+L137*'Øko. nøgletal'!L5</f>
        <v>1343.9163793441219</v>
      </c>
      <c r="N137" s="10">
        <f>M137+M137*'Øko. nøgletal'!M5</f>
        <v>1384.2338707244455</v>
      </c>
    </row>
    <row r="138" spans="1:14" ht="12.75">
      <c r="A138" t="s">
        <v>8</v>
      </c>
      <c r="B138" s="10">
        <v>0</v>
      </c>
      <c r="C138" s="10">
        <v>2000</v>
      </c>
      <c r="D138" s="10">
        <f>C138+C138*'Øko. nøgletal'!C5</f>
        <v>2060</v>
      </c>
      <c r="E138" s="10">
        <f>D138+D138*'Øko. nøgletal'!D5</f>
        <v>2121.8</v>
      </c>
      <c r="F138" s="10">
        <f>E138+E138*'Øko. nøgletal'!E5</f>
        <v>2185.454</v>
      </c>
      <c r="G138" s="10">
        <f>F138+F138*'Øko. nøgletal'!F5</f>
        <v>2251.01762</v>
      </c>
      <c r="H138" s="10">
        <f>G138+G138*'Øko. nøgletal'!G5</f>
        <v>2318.5481486</v>
      </c>
      <c r="I138" s="10">
        <f>H138+H138*'Øko. nøgletal'!H5</f>
        <v>2388.104593058</v>
      </c>
      <c r="J138" s="10">
        <f>I138+I138*'Øko. nøgletal'!I5</f>
        <v>2459.74773084974</v>
      </c>
      <c r="K138" s="10">
        <f>J138+J138*'Øko. nøgletal'!J5</f>
        <v>2533.540162775232</v>
      </c>
      <c r="L138" s="10">
        <f>K138+K138*'Øko. nøgletal'!K5</f>
        <v>2609.546367658489</v>
      </c>
      <c r="M138" s="10">
        <f>L138+L138*'Øko. nøgletal'!L5</f>
        <v>2687.8327586882438</v>
      </c>
      <c r="N138" s="10">
        <f>M138+M138*'Øko. nøgletal'!M5</f>
        <v>2768.467741448891</v>
      </c>
    </row>
    <row r="139" spans="1:14" ht="12.75">
      <c r="A139" t="s">
        <v>17</v>
      </c>
      <c r="B139" s="10">
        <v>0</v>
      </c>
      <c r="C139" s="10">
        <v>500</v>
      </c>
      <c r="D139" s="10">
        <f>C139+C139*'Øko. nøgletal'!C5</f>
        <v>515</v>
      </c>
      <c r="E139" s="10">
        <f>D139+D139*'Øko. nøgletal'!D5</f>
        <v>530.45</v>
      </c>
      <c r="F139" s="10">
        <f>E139+E139*'Øko. nøgletal'!E5</f>
        <v>546.3635</v>
      </c>
      <c r="G139" s="10">
        <f>F139+F139*'Øko. nøgletal'!F5</f>
        <v>562.754405</v>
      </c>
      <c r="H139" s="10">
        <f>G139+G139*'Øko. nøgletal'!G5</f>
        <v>579.63703715</v>
      </c>
      <c r="I139" s="10">
        <f>H139+H139*'Øko. nøgletal'!H5</f>
        <v>597.0261482645</v>
      </c>
      <c r="J139" s="10">
        <f>I139+I139*'Øko. nøgletal'!I5</f>
        <v>614.936932712435</v>
      </c>
      <c r="K139" s="10">
        <f>J139+J139*'Øko. nøgletal'!J5</f>
        <v>633.385040693808</v>
      </c>
      <c r="L139" s="10">
        <f>K139+K139*'Øko. nøgletal'!K5</f>
        <v>652.3865919146223</v>
      </c>
      <c r="M139" s="10">
        <f>L139+L139*'Øko. nøgletal'!L5</f>
        <v>671.9581896720609</v>
      </c>
      <c r="N139" s="10">
        <f>M139+M139*'Øko. nøgletal'!M5</f>
        <v>692.1169353622228</v>
      </c>
    </row>
    <row r="140" spans="2:14" ht="12.75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</row>
    <row r="141" spans="1:14" ht="12.75">
      <c r="A141" t="s">
        <v>38</v>
      </c>
      <c r="B141" s="10">
        <v>0</v>
      </c>
      <c r="C141" s="10">
        <v>100</v>
      </c>
      <c r="D141" s="10">
        <f>C141+C141*'Øko. nøgletal'!C5</f>
        <v>103</v>
      </c>
      <c r="E141" s="10">
        <f>D141+D141*'Øko. nøgletal'!D5</f>
        <v>106.09</v>
      </c>
      <c r="F141" s="10">
        <f>E141+E141*'Øko. nøgletal'!E5</f>
        <v>109.2727</v>
      </c>
      <c r="G141" s="10">
        <f>F141+F141*'Øko. nøgletal'!F5</f>
        <v>112.550881</v>
      </c>
      <c r="H141" s="10">
        <f>G141+G141*'Øko. nøgletal'!G5</f>
        <v>115.92740743</v>
      </c>
      <c r="I141" s="10">
        <f>H141+H141*'Øko. nøgletal'!H5</f>
        <v>119.4052296529</v>
      </c>
      <c r="J141" s="10">
        <f>I141+I141*'Øko. nøgletal'!I5</f>
        <v>122.987386542487</v>
      </c>
      <c r="K141" s="10">
        <f>J141+J141*'Øko. nøgletal'!J5</f>
        <v>126.67700813876161</v>
      </c>
      <c r="L141" s="10">
        <f>K141+K141*'Øko. nøgletal'!K5</f>
        <v>130.47731838292447</v>
      </c>
      <c r="M141" s="10">
        <f>L141+L141*'Øko. nøgletal'!L5</f>
        <v>134.3916379344122</v>
      </c>
      <c r="N141" s="10">
        <f>M141+M141*'Øko. nøgletal'!M5</f>
        <v>138.42338707244454</v>
      </c>
    </row>
    <row r="142" spans="1:14" ht="12.75">
      <c r="A142" t="s">
        <v>39</v>
      </c>
      <c r="B142" s="10">
        <v>300</v>
      </c>
      <c r="C142" s="10">
        <v>300</v>
      </c>
      <c r="D142" s="10">
        <f>C142+C142*'Øko. nøgletal'!C5</f>
        <v>309</v>
      </c>
      <c r="E142" s="10">
        <f>D142+D142*'Øko. nøgletal'!D5</f>
        <v>318.27</v>
      </c>
      <c r="F142" s="10">
        <f>E142+E142*'Øko. nøgletal'!E5</f>
        <v>327.81809999999996</v>
      </c>
      <c r="G142" s="10">
        <f>F142+F142*'Øko. nøgletal'!F5</f>
        <v>337.65264299999996</v>
      </c>
      <c r="H142" s="10">
        <f>G142+G142*'Øko. nøgletal'!G5</f>
        <v>347.78222228999994</v>
      </c>
      <c r="I142" s="10">
        <f>H142+H142*'Øko. nøgletal'!H5</f>
        <v>358.21568895869996</v>
      </c>
      <c r="J142" s="10">
        <f>I142+I142*'Øko. nøgletal'!I5</f>
        <v>368.96215962746095</v>
      </c>
      <c r="K142" s="10">
        <f>J142+J142*'Øko. nøgletal'!J5</f>
        <v>380.03102441628477</v>
      </c>
      <c r="L142" s="10">
        <f>K142+K142*'Øko. nøgletal'!K5</f>
        <v>391.4319551487733</v>
      </c>
      <c r="M142" s="10">
        <f>L142+L142*'Øko. nøgletal'!L5</f>
        <v>403.1749138032365</v>
      </c>
      <c r="N142" s="10">
        <f>M142+M142*'Øko. nøgletal'!M5</f>
        <v>415.2701612173336</v>
      </c>
    </row>
    <row r="143" spans="1:14" ht="12.75">
      <c r="A143" t="s">
        <v>40</v>
      </c>
      <c r="B143" s="10">
        <v>600</v>
      </c>
      <c r="C143" s="10">
        <v>600</v>
      </c>
      <c r="D143" s="10">
        <f>C143+C143*'Øko. nøgletal'!C5</f>
        <v>618</v>
      </c>
      <c r="E143" s="10">
        <f>D143+D143*'Øko. nøgletal'!D5</f>
        <v>636.54</v>
      </c>
      <c r="F143" s="10">
        <f>E143+E143*'Øko. nøgletal'!E5</f>
        <v>655.6361999999999</v>
      </c>
      <c r="G143" s="10">
        <f>F143+F143*'Øko. nøgletal'!F5</f>
        <v>675.3052859999999</v>
      </c>
      <c r="H143" s="10">
        <f>G143+G143*'Øko. nøgletal'!G5</f>
        <v>695.5644445799999</v>
      </c>
      <c r="I143" s="10">
        <f>H143+H143*'Øko. nøgletal'!H5</f>
        <v>716.4313779173999</v>
      </c>
      <c r="J143" s="10">
        <f>I143+I143*'Øko. nøgletal'!I5</f>
        <v>737.9243192549219</v>
      </c>
      <c r="K143" s="10">
        <f>J143+J143*'Øko. nøgletal'!J5</f>
        <v>760.0620488325695</v>
      </c>
      <c r="L143" s="10">
        <f>K143+K143*'Øko. nøgletal'!K5</f>
        <v>782.8639102975466</v>
      </c>
      <c r="M143" s="10">
        <f>L143+L143*'Øko. nøgletal'!L5</f>
        <v>806.349827606473</v>
      </c>
      <c r="N143" s="10">
        <f>M143+M143*'Øko. nøgletal'!M5</f>
        <v>830.5403224346672</v>
      </c>
    </row>
    <row r="144" spans="2:14" ht="12.7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1:14" ht="13.5" thickBot="1">
      <c r="A145" s="1" t="s">
        <v>41</v>
      </c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</row>
    <row r="146" spans="1:14" ht="12.75">
      <c r="A146" t="s">
        <v>42</v>
      </c>
      <c r="B146" s="10">
        <v>500</v>
      </c>
      <c r="C146" s="10">
        <v>500</v>
      </c>
      <c r="D146" s="10">
        <f>C146+C146*'Øko. nøgletal'!C5</f>
        <v>515</v>
      </c>
      <c r="E146" s="10">
        <f>D146+D146*'Øko. nøgletal'!D5</f>
        <v>530.45</v>
      </c>
      <c r="F146" s="10">
        <f>E146+E146*'Øko. nøgletal'!E5</f>
        <v>546.3635</v>
      </c>
      <c r="G146" s="10">
        <f>F146+F146*'Øko. nøgletal'!F5</f>
        <v>562.754405</v>
      </c>
      <c r="H146" s="10">
        <f>G146+G146*'Øko. nøgletal'!G5</f>
        <v>579.63703715</v>
      </c>
      <c r="I146" s="10">
        <f>H146+H146*'Øko. nøgletal'!H5</f>
        <v>597.0261482645</v>
      </c>
      <c r="J146" s="10">
        <f>I146+I146*'Øko. nøgletal'!I5</f>
        <v>614.936932712435</v>
      </c>
      <c r="K146" s="10">
        <f>J146+J146*'Øko. nøgletal'!J5</f>
        <v>633.385040693808</v>
      </c>
      <c r="L146" s="10">
        <f>K146+K146*'Øko. nøgletal'!K5</f>
        <v>652.3865919146223</v>
      </c>
      <c r="M146" s="10">
        <f>L146+L146*'Øko. nøgletal'!L5</f>
        <v>671.9581896720609</v>
      </c>
      <c r="N146" s="10">
        <f>M146+M146*'Øko. nøgletal'!M5</f>
        <v>692.1169353622228</v>
      </c>
    </row>
    <row r="147" spans="1:14" ht="12.75">
      <c r="A147" t="s">
        <v>43</v>
      </c>
      <c r="B147" s="10">
        <v>2000</v>
      </c>
      <c r="C147" s="10">
        <v>2000</v>
      </c>
      <c r="D147" s="10">
        <f>C147+C147*'Øko. nøgletal'!C5</f>
        <v>2060</v>
      </c>
      <c r="E147" s="10">
        <f>D147+D147*'Øko. nøgletal'!D5</f>
        <v>2121.8</v>
      </c>
      <c r="F147" s="10">
        <f>E147+E147*'Øko. nøgletal'!E5</f>
        <v>2185.454</v>
      </c>
      <c r="G147" s="10">
        <f>F147+F147*'Øko. nøgletal'!F5</f>
        <v>2251.01762</v>
      </c>
      <c r="H147" s="10">
        <f>G147+G147*'Øko. nøgletal'!G5</f>
        <v>2318.5481486</v>
      </c>
      <c r="I147" s="10">
        <f>H147+H147*'Øko. nøgletal'!H5</f>
        <v>2388.104593058</v>
      </c>
      <c r="J147" s="10">
        <f>I147+I147*'Øko. nøgletal'!I5</f>
        <v>2459.74773084974</v>
      </c>
      <c r="K147" s="10">
        <f>J147+J147*'Øko. nøgletal'!J5</f>
        <v>2533.540162775232</v>
      </c>
      <c r="L147" s="10">
        <f>K147+K147*'Øko. nøgletal'!K5</f>
        <v>2609.546367658489</v>
      </c>
      <c r="M147" s="10">
        <f>L147+L147*'Øko. nøgletal'!L5</f>
        <v>2687.8327586882438</v>
      </c>
      <c r="N147" s="10">
        <f>M147+M147*'Øko. nøgletal'!M5</f>
        <v>2768.467741448891</v>
      </c>
    </row>
  </sheetData>
  <mergeCells count="5">
    <mergeCell ref="A101:D101"/>
    <mergeCell ref="A1:C1"/>
    <mergeCell ref="A27:C27"/>
    <mergeCell ref="A54:C54"/>
    <mergeCell ref="A81:D8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25"/>
  <sheetViews>
    <sheetView workbookViewId="0" topLeftCell="A95">
      <selection activeCell="C113" sqref="C113"/>
    </sheetView>
  </sheetViews>
  <sheetFormatPr defaultColWidth="9.140625" defaultRowHeight="12.75"/>
  <cols>
    <col min="1" max="1" width="27.421875" style="0" customWidth="1"/>
  </cols>
  <sheetData>
    <row r="1" ht="13.5" thickBot="1">
      <c r="A1" s="1" t="s">
        <v>52</v>
      </c>
    </row>
    <row r="2" spans="2:13" ht="13.5" thickBot="1">
      <c r="B2" s="6">
        <v>2009</v>
      </c>
      <c r="C2" s="7">
        <v>2010</v>
      </c>
      <c r="D2" s="7">
        <v>2011</v>
      </c>
      <c r="E2" s="7">
        <v>2012</v>
      </c>
      <c r="F2" s="7">
        <v>2013</v>
      </c>
      <c r="G2" s="7">
        <v>2014</v>
      </c>
      <c r="H2" s="7">
        <v>2015</v>
      </c>
      <c r="I2" s="7">
        <v>2016</v>
      </c>
      <c r="J2" s="7">
        <v>2017</v>
      </c>
      <c r="K2" s="7">
        <v>2018</v>
      </c>
      <c r="L2" s="7">
        <v>2019</v>
      </c>
      <c r="M2" s="8">
        <v>2020</v>
      </c>
    </row>
    <row r="3" ht="13.5" thickBot="1">
      <c r="A3" s="1" t="s">
        <v>53</v>
      </c>
    </row>
    <row r="4" spans="1:13" ht="12.75">
      <c r="A4" t="s">
        <v>25</v>
      </c>
      <c r="B4" s="10">
        <v>432000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2.75">
      <c r="A5" t="s">
        <v>265</v>
      </c>
      <c r="B5" s="10"/>
      <c r="C5" s="10"/>
      <c r="D5" s="10">
        <v>100000</v>
      </c>
      <c r="E5" s="10"/>
      <c r="F5" s="10"/>
      <c r="G5" s="10"/>
      <c r="H5" s="10"/>
      <c r="I5" s="10"/>
      <c r="J5" s="10"/>
      <c r="K5" s="10"/>
      <c r="L5" s="10"/>
      <c r="M5" s="10"/>
    </row>
    <row r="6" spans="1:13" ht="12.75">
      <c r="A6" t="s">
        <v>266</v>
      </c>
      <c r="B6" s="10"/>
      <c r="C6" s="10"/>
      <c r="D6" s="10"/>
      <c r="E6" s="10">
        <v>290000</v>
      </c>
      <c r="F6" s="10"/>
      <c r="G6" s="10"/>
      <c r="H6" s="10"/>
      <c r="I6" s="10"/>
      <c r="J6" s="10"/>
      <c r="K6" s="10"/>
      <c r="L6" s="10"/>
      <c r="M6" s="10"/>
    </row>
    <row r="7" spans="1:13" ht="12.75">
      <c r="A7" t="s">
        <v>276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>
        <v>1100000</v>
      </c>
    </row>
    <row r="8" spans="2:13" ht="12.7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3.5" thickBot="1">
      <c r="A9" t="s">
        <v>73</v>
      </c>
      <c r="B9" s="16">
        <f>SUM(B4:B8)</f>
        <v>432000</v>
      </c>
      <c r="C9" s="16">
        <f aca="true" t="shared" si="0" ref="C9:M9">SUM(C4:C8)</f>
        <v>0</v>
      </c>
      <c r="D9" s="16">
        <f t="shared" si="0"/>
        <v>100000</v>
      </c>
      <c r="E9" s="16">
        <f t="shared" si="0"/>
        <v>290000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  <c r="L9" s="16">
        <f t="shared" si="0"/>
        <v>0</v>
      </c>
      <c r="M9" s="16">
        <f t="shared" si="0"/>
        <v>1100000</v>
      </c>
    </row>
    <row r="10" spans="2:13" ht="13.5" thickTop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3.5" thickBot="1">
      <c r="A11" s="1" t="s">
        <v>54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2.75">
      <c r="A12" t="s">
        <v>55</v>
      </c>
      <c r="B12" s="10">
        <v>130000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2.75">
      <c r="A13" t="s">
        <v>267</v>
      </c>
      <c r="B13" s="10"/>
      <c r="C13" s="10"/>
      <c r="D13" s="10"/>
      <c r="E13" s="10">
        <v>50000</v>
      </c>
      <c r="F13" s="10"/>
      <c r="G13" s="10"/>
      <c r="H13" s="10"/>
      <c r="I13" s="10"/>
      <c r="J13" s="10"/>
      <c r="K13" s="10"/>
      <c r="L13" s="10"/>
      <c r="M13" s="10"/>
    </row>
    <row r="14" spans="1:13" ht="12.75">
      <c r="A14" t="s">
        <v>276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>
        <v>175000</v>
      </c>
    </row>
    <row r="15" spans="2:13" ht="12.7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2:13" ht="12.7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3.5" thickBot="1">
      <c r="A17" t="s">
        <v>73</v>
      </c>
      <c r="B17" s="16">
        <f>SUM(B12:B16)</f>
        <v>130000</v>
      </c>
      <c r="C17" s="16">
        <f aca="true" t="shared" si="1" ref="C17:M17">SUM(C12:C16)</f>
        <v>0</v>
      </c>
      <c r="D17" s="16">
        <f t="shared" si="1"/>
        <v>0</v>
      </c>
      <c r="E17" s="16">
        <f t="shared" si="1"/>
        <v>50000</v>
      </c>
      <c r="F17" s="16">
        <f t="shared" si="1"/>
        <v>0</v>
      </c>
      <c r="G17" s="16">
        <f t="shared" si="1"/>
        <v>0</v>
      </c>
      <c r="H17" s="16">
        <f t="shared" si="1"/>
        <v>0</v>
      </c>
      <c r="I17" s="16">
        <f t="shared" si="1"/>
        <v>0</v>
      </c>
      <c r="J17" s="16">
        <f t="shared" si="1"/>
        <v>0</v>
      </c>
      <c r="K17" s="16">
        <f t="shared" si="1"/>
        <v>0</v>
      </c>
      <c r="L17" s="16">
        <f t="shared" si="1"/>
        <v>0</v>
      </c>
      <c r="M17" s="16">
        <f t="shared" si="1"/>
        <v>175000</v>
      </c>
    </row>
    <row r="18" spans="2:13" ht="13.5" thickTop="1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13.5" thickBot="1">
      <c r="A19" s="1" t="s">
        <v>58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2.75">
      <c r="A20" t="s">
        <v>59</v>
      </c>
      <c r="B20" s="10">
        <v>8000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2.75">
      <c r="A21" t="s">
        <v>222</v>
      </c>
      <c r="B21" s="10"/>
      <c r="C21" s="10"/>
      <c r="D21" s="10">
        <v>10000</v>
      </c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2.75">
      <c r="A22" t="s">
        <v>235</v>
      </c>
      <c r="B22" s="10"/>
      <c r="C22" s="10"/>
      <c r="D22" s="10">
        <v>40000</v>
      </c>
      <c r="E22" s="10">
        <v>20000</v>
      </c>
      <c r="F22" s="10"/>
      <c r="G22" s="10"/>
      <c r="H22" s="10"/>
      <c r="I22" s="10"/>
      <c r="J22" s="10"/>
      <c r="K22" s="10"/>
      <c r="L22" s="10"/>
      <c r="M22" s="10"/>
    </row>
    <row r="23" spans="1:13" ht="12.75">
      <c r="A23" t="s">
        <v>268</v>
      </c>
      <c r="B23" s="10"/>
      <c r="C23" s="10"/>
      <c r="D23" s="10"/>
      <c r="E23" s="10">
        <v>5000</v>
      </c>
      <c r="F23" s="10"/>
      <c r="G23" s="10"/>
      <c r="H23" s="10"/>
      <c r="I23" s="10"/>
      <c r="J23" s="10"/>
      <c r="K23" s="10"/>
      <c r="L23" s="10"/>
      <c r="M23" s="10"/>
    </row>
    <row r="24" spans="1:13" ht="12.75">
      <c r="A24" t="s">
        <v>276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>
        <v>25000</v>
      </c>
    </row>
    <row r="25" spans="2:13" ht="12.7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3.5" thickBot="1">
      <c r="A26" t="s">
        <v>73</v>
      </c>
      <c r="B26" s="16">
        <f>SUM(B20:B25)</f>
        <v>8000</v>
      </c>
      <c r="C26" s="16">
        <f aca="true" t="shared" si="2" ref="C26:M26">SUM(C20:C25)</f>
        <v>0</v>
      </c>
      <c r="D26" s="16">
        <f t="shared" si="2"/>
        <v>50000</v>
      </c>
      <c r="E26" s="16">
        <f t="shared" si="2"/>
        <v>25000</v>
      </c>
      <c r="F26" s="16">
        <f t="shared" si="2"/>
        <v>0</v>
      </c>
      <c r="G26" s="16">
        <f t="shared" si="2"/>
        <v>0</v>
      </c>
      <c r="H26" s="16">
        <f t="shared" si="2"/>
        <v>0</v>
      </c>
      <c r="I26" s="16">
        <f t="shared" si="2"/>
        <v>0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25000</v>
      </c>
    </row>
    <row r="27" ht="14.25" thickBot="1" thickTop="1"/>
    <row r="28" spans="2:13" ht="13.5" thickBot="1">
      <c r="B28" s="6">
        <v>2009</v>
      </c>
      <c r="C28" s="7">
        <v>2010</v>
      </c>
      <c r="D28" s="7">
        <v>2011</v>
      </c>
      <c r="E28" s="7">
        <v>2012</v>
      </c>
      <c r="F28" s="7">
        <v>2013</v>
      </c>
      <c r="G28" s="7">
        <v>2014</v>
      </c>
      <c r="H28" s="7">
        <v>2015</v>
      </c>
      <c r="I28" s="7">
        <v>2016</v>
      </c>
      <c r="J28" s="7">
        <v>2017</v>
      </c>
      <c r="K28" s="7">
        <v>2018</v>
      </c>
      <c r="L28" s="7">
        <v>2019</v>
      </c>
      <c r="M28" s="8">
        <v>2020</v>
      </c>
    </row>
    <row r="30" ht="13.5" thickBot="1">
      <c r="A30" s="1" t="s">
        <v>60</v>
      </c>
    </row>
    <row r="31" spans="1:13" ht="12.75">
      <c r="A31" t="s">
        <v>61</v>
      </c>
      <c r="B31" s="10">
        <v>15000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2.75">
      <c r="A32" t="s">
        <v>234</v>
      </c>
      <c r="B32" s="10"/>
      <c r="C32" s="10"/>
      <c r="D32" s="10">
        <v>15000</v>
      </c>
      <c r="E32" s="10"/>
      <c r="F32" s="10">
        <v>15000</v>
      </c>
      <c r="G32" s="10"/>
      <c r="H32" s="10">
        <v>15000</v>
      </c>
      <c r="I32" s="10"/>
      <c r="J32" s="10">
        <v>15000</v>
      </c>
      <c r="K32" s="10"/>
      <c r="L32" s="10">
        <v>15000</v>
      </c>
      <c r="M32" s="10">
        <v>30000</v>
      </c>
    </row>
    <row r="33" spans="2:13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2:13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2:13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3.5" thickBot="1">
      <c r="A36" t="s">
        <v>73</v>
      </c>
      <c r="B36" s="16">
        <f>SUM(B31:B35)</f>
        <v>15000</v>
      </c>
      <c r="C36" s="16">
        <f aca="true" t="shared" si="3" ref="C36:M36">SUM(C31:C35)</f>
        <v>0</v>
      </c>
      <c r="D36" s="16">
        <f t="shared" si="3"/>
        <v>15000</v>
      </c>
      <c r="E36" s="16">
        <f t="shared" si="3"/>
        <v>0</v>
      </c>
      <c r="F36" s="16">
        <f t="shared" si="3"/>
        <v>15000</v>
      </c>
      <c r="G36" s="16">
        <f t="shared" si="3"/>
        <v>0</v>
      </c>
      <c r="H36" s="16">
        <f t="shared" si="3"/>
        <v>15000</v>
      </c>
      <c r="I36" s="16">
        <f t="shared" si="3"/>
        <v>0</v>
      </c>
      <c r="J36" s="16">
        <f t="shared" si="3"/>
        <v>15000</v>
      </c>
      <c r="K36" s="16">
        <f t="shared" si="3"/>
        <v>0</v>
      </c>
      <c r="L36" s="16">
        <f t="shared" si="3"/>
        <v>15000</v>
      </c>
      <c r="M36" s="16">
        <f t="shared" si="3"/>
        <v>30000</v>
      </c>
    </row>
    <row r="37" spans="2:13" ht="13.5" thickTop="1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13.5" thickBot="1">
      <c r="A38" s="1" t="s">
        <v>62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2.75">
      <c r="A39" t="s">
        <v>64</v>
      </c>
      <c r="B39" s="10">
        <v>45000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2.75">
      <c r="A40" t="s">
        <v>269</v>
      </c>
      <c r="B40" s="10"/>
      <c r="C40" s="10"/>
      <c r="D40" s="10"/>
      <c r="E40" s="10">
        <v>20000</v>
      </c>
      <c r="F40" s="10"/>
      <c r="G40" s="10"/>
      <c r="H40" s="10"/>
      <c r="I40" s="10"/>
      <c r="J40" s="10"/>
      <c r="K40" s="10"/>
      <c r="L40" s="10"/>
      <c r="M40" s="10"/>
    </row>
    <row r="41" spans="1:13" ht="12.75">
      <c r="A41" t="s">
        <v>276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>
        <v>50000</v>
      </c>
    </row>
    <row r="42" spans="2:13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2:13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3.5" thickBot="1">
      <c r="A44" t="s">
        <v>73</v>
      </c>
      <c r="B44" s="16">
        <f>SUM(B39:B43)</f>
        <v>45000</v>
      </c>
      <c r="C44" s="16">
        <f aca="true" t="shared" si="4" ref="C44:M44">SUM(C39:C43)</f>
        <v>0</v>
      </c>
      <c r="D44" s="16">
        <f t="shared" si="4"/>
        <v>0</v>
      </c>
      <c r="E44" s="16">
        <f t="shared" si="4"/>
        <v>20000</v>
      </c>
      <c r="F44" s="16">
        <f t="shared" si="4"/>
        <v>0</v>
      </c>
      <c r="G44" s="16">
        <f t="shared" si="4"/>
        <v>0</v>
      </c>
      <c r="H44" s="16">
        <f t="shared" si="4"/>
        <v>0</v>
      </c>
      <c r="I44" s="16">
        <f t="shared" si="4"/>
        <v>0</v>
      </c>
      <c r="J44" s="16">
        <f t="shared" si="4"/>
        <v>0</v>
      </c>
      <c r="K44" s="16">
        <f t="shared" si="4"/>
        <v>0</v>
      </c>
      <c r="L44" s="16">
        <f t="shared" si="4"/>
        <v>0</v>
      </c>
      <c r="M44" s="16">
        <f t="shared" si="4"/>
        <v>50000</v>
      </c>
    </row>
    <row r="45" spans="2:13" ht="13.5" thickTop="1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3.5" thickBot="1">
      <c r="A46" s="1" t="s">
        <v>63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2.75">
      <c r="A47" t="s">
        <v>65</v>
      </c>
      <c r="B47" s="10">
        <v>20000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2.75">
      <c r="A48" t="s">
        <v>270</v>
      </c>
      <c r="B48" s="10"/>
      <c r="C48" s="10"/>
      <c r="D48" s="10"/>
      <c r="E48" s="10">
        <v>20000</v>
      </c>
      <c r="F48" s="10"/>
      <c r="G48" s="10"/>
      <c r="H48" s="10"/>
      <c r="I48" s="10"/>
      <c r="J48" s="10"/>
      <c r="K48" s="10"/>
      <c r="L48" s="10"/>
      <c r="M48" s="10"/>
    </row>
    <row r="49" spans="1:13" ht="12.75">
      <c r="A49" t="s">
        <v>276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>
        <v>45000</v>
      </c>
    </row>
    <row r="50" spans="2:13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2:13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3.5" thickBot="1">
      <c r="A52" t="s">
        <v>73</v>
      </c>
      <c r="B52" s="16">
        <f>SUM(B47:B51)</f>
        <v>20000</v>
      </c>
      <c r="C52" s="16">
        <f aca="true" t="shared" si="5" ref="C52:M52">SUM(C47:C51)</f>
        <v>0</v>
      </c>
      <c r="D52" s="16">
        <f t="shared" si="5"/>
        <v>0</v>
      </c>
      <c r="E52" s="16">
        <f t="shared" si="5"/>
        <v>20000</v>
      </c>
      <c r="F52" s="16">
        <f t="shared" si="5"/>
        <v>0</v>
      </c>
      <c r="G52" s="16">
        <f t="shared" si="5"/>
        <v>0</v>
      </c>
      <c r="H52" s="16">
        <f t="shared" si="5"/>
        <v>0</v>
      </c>
      <c r="I52" s="16">
        <f t="shared" si="5"/>
        <v>0</v>
      </c>
      <c r="J52" s="16">
        <f t="shared" si="5"/>
        <v>0</v>
      </c>
      <c r="K52" s="16">
        <f t="shared" si="5"/>
        <v>0</v>
      </c>
      <c r="L52" s="16">
        <f t="shared" si="5"/>
        <v>0</v>
      </c>
      <c r="M52" s="16">
        <f t="shared" si="5"/>
        <v>45000</v>
      </c>
    </row>
    <row r="53" spans="2:13" ht="13.5" thickTop="1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13.5" thickBot="1">
      <c r="A54" s="1" t="s">
        <v>66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2.75">
      <c r="A55" t="s">
        <v>67</v>
      </c>
      <c r="B55" s="10">
        <v>150000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2.75">
      <c r="A56" t="s">
        <v>232</v>
      </c>
      <c r="B56" s="10"/>
      <c r="C56" s="10"/>
      <c r="D56" s="10"/>
      <c r="E56" s="10">
        <v>220000</v>
      </c>
      <c r="F56" s="10"/>
      <c r="G56" s="10"/>
      <c r="H56" s="10"/>
      <c r="I56" s="10"/>
      <c r="J56" s="10"/>
      <c r="K56" s="10"/>
      <c r="L56" s="10"/>
      <c r="M56" s="10"/>
    </row>
    <row r="57" spans="1:13" ht="12.75">
      <c r="A57" t="s">
        <v>271</v>
      </c>
      <c r="B57" s="10"/>
      <c r="C57" s="10"/>
      <c r="D57" s="10"/>
      <c r="E57" s="10">
        <v>40000</v>
      </c>
      <c r="F57" s="10"/>
      <c r="G57" s="10"/>
      <c r="H57" s="10"/>
      <c r="I57" s="10"/>
      <c r="J57" s="10"/>
      <c r="K57" s="10"/>
      <c r="L57" s="10"/>
      <c r="M57" s="10"/>
    </row>
    <row r="58" spans="1:13" ht="12.75">
      <c r="A58" t="s">
        <v>276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>
        <v>200000</v>
      </c>
    </row>
    <row r="59" spans="2:13" ht="12.7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3.5" thickBot="1">
      <c r="A60" t="s">
        <v>73</v>
      </c>
      <c r="B60" s="16">
        <f>SUM(B55:B59)</f>
        <v>150000</v>
      </c>
      <c r="C60" s="16">
        <f aca="true" t="shared" si="6" ref="C60:M60">SUM(C55:C59)</f>
        <v>0</v>
      </c>
      <c r="D60" s="16">
        <f t="shared" si="6"/>
        <v>0</v>
      </c>
      <c r="E60" s="16">
        <f t="shared" si="6"/>
        <v>260000</v>
      </c>
      <c r="F60" s="16">
        <f t="shared" si="6"/>
        <v>0</v>
      </c>
      <c r="G60" s="16">
        <f t="shared" si="6"/>
        <v>0</v>
      </c>
      <c r="H60" s="16">
        <f t="shared" si="6"/>
        <v>0</v>
      </c>
      <c r="I60" s="16">
        <f t="shared" si="6"/>
        <v>0</v>
      </c>
      <c r="J60" s="16">
        <f t="shared" si="6"/>
        <v>0</v>
      </c>
      <c r="K60" s="16">
        <f t="shared" si="6"/>
        <v>0</v>
      </c>
      <c r="L60" s="16">
        <f t="shared" si="6"/>
        <v>0</v>
      </c>
      <c r="M60" s="16">
        <f t="shared" si="6"/>
        <v>200000</v>
      </c>
    </row>
    <row r="61" ht="14.25" thickBot="1" thickTop="1"/>
    <row r="62" spans="2:13" ht="13.5" thickBot="1">
      <c r="B62" s="6">
        <v>2009</v>
      </c>
      <c r="C62" s="7">
        <v>2010</v>
      </c>
      <c r="D62" s="7">
        <v>2011</v>
      </c>
      <c r="E62" s="7">
        <v>2012</v>
      </c>
      <c r="F62" s="7">
        <v>2013</v>
      </c>
      <c r="G62" s="7">
        <v>2014</v>
      </c>
      <c r="H62" s="7">
        <v>2015</v>
      </c>
      <c r="I62" s="7">
        <v>2016</v>
      </c>
      <c r="J62" s="7">
        <v>2017</v>
      </c>
      <c r="K62" s="7">
        <v>2018</v>
      </c>
      <c r="L62" s="7">
        <v>2019</v>
      </c>
      <c r="M62" s="8">
        <v>2020</v>
      </c>
    </row>
    <row r="64" ht="13.5" thickBot="1">
      <c r="A64" s="1" t="s">
        <v>68</v>
      </c>
    </row>
    <row r="65" spans="1:13" ht="12.75">
      <c r="A65" t="s">
        <v>232</v>
      </c>
      <c r="B65" s="10"/>
      <c r="C65" s="10"/>
      <c r="D65" s="10"/>
      <c r="E65" s="10"/>
      <c r="F65" s="10">
        <v>60000</v>
      </c>
      <c r="G65" s="10"/>
      <c r="H65" s="10"/>
      <c r="I65" s="10"/>
      <c r="J65" s="10"/>
      <c r="K65" s="10"/>
      <c r="L65" s="10">
        <v>70000</v>
      </c>
      <c r="M65" s="10"/>
    </row>
    <row r="66" spans="2:13" ht="12.7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2:13" ht="12.7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2:13" ht="12.7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2:13" ht="12.7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1:13" ht="13.5" thickBot="1">
      <c r="A70" t="s">
        <v>73</v>
      </c>
      <c r="B70" s="16">
        <f>SUM(B65:B69)</f>
        <v>0</v>
      </c>
      <c r="C70" s="16">
        <f aca="true" t="shared" si="7" ref="C70:M70">SUM(C65:C69)</f>
        <v>0</v>
      </c>
      <c r="D70" s="16">
        <f t="shared" si="7"/>
        <v>0</v>
      </c>
      <c r="E70" s="16">
        <f t="shared" si="7"/>
        <v>0</v>
      </c>
      <c r="F70" s="16">
        <f t="shared" si="7"/>
        <v>60000</v>
      </c>
      <c r="G70" s="16">
        <f t="shared" si="7"/>
        <v>0</v>
      </c>
      <c r="H70" s="16">
        <f t="shared" si="7"/>
        <v>0</v>
      </c>
      <c r="I70" s="16">
        <f t="shared" si="7"/>
        <v>0</v>
      </c>
      <c r="J70" s="16">
        <f t="shared" si="7"/>
        <v>0</v>
      </c>
      <c r="K70" s="16">
        <f t="shared" si="7"/>
        <v>0</v>
      </c>
      <c r="L70" s="16">
        <f t="shared" si="7"/>
        <v>70000</v>
      </c>
      <c r="M70" s="16">
        <f t="shared" si="7"/>
        <v>0</v>
      </c>
    </row>
    <row r="71" spans="2:13" ht="13.5" thickTop="1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ht="13.5" thickBot="1">
      <c r="A72" s="1" t="s">
        <v>69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ht="12.75">
      <c r="A73" t="s">
        <v>70</v>
      </c>
      <c r="B73" s="10">
        <v>45000</v>
      </c>
      <c r="C73" s="10"/>
      <c r="D73" s="10"/>
      <c r="E73" s="10"/>
      <c r="F73" s="10"/>
      <c r="G73" s="10">
        <v>75000</v>
      </c>
      <c r="H73" s="10"/>
      <c r="I73" s="10"/>
      <c r="J73" s="10"/>
      <c r="K73" s="10"/>
      <c r="L73" s="10">
        <v>75000</v>
      </c>
      <c r="M73" s="10"/>
    </row>
    <row r="74" spans="1:13" ht="12.75">
      <c r="A74" t="s">
        <v>277</v>
      </c>
      <c r="B74" s="10"/>
      <c r="C74" s="10">
        <v>10000</v>
      </c>
      <c r="D74" s="10"/>
      <c r="E74" s="10"/>
      <c r="F74" s="10"/>
      <c r="G74" s="10">
        <v>10000</v>
      </c>
      <c r="H74" s="10"/>
      <c r="I74" s="10"/>
      <c r="J74" s="10"/>
      <c r="K74" s="10">
        <v>10000</v>
      </c>
      <c r="L74" s="10"/>
      <c r="M74" s="10"/>
    </row>
    <row r="75" spans="1:13" ht="12.75">
      <c r="A75" t="s">
        <v>278</v>
      </c>
      <c r="B75" s="10"/>
      <c r="C75" s="10"/>
      <c r="D75" s="10"/>
      <c r="E75" s="10"/>
      <c r="F75" s="10">
        <v>30000</v>
      </c>
      <c r="G75" s="10"/>
      <c r="H75" s="10"/>
      <c r="I75" s="10"/>
      <c r="J75" s="10"/>
      <c r="K75" s="10"/>
      <c r="L75" s="10"/>
      <c r="M75" s="10"/>
    </row>
    <row r="76" spans="2:13" ht="12.7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2:13" ht="12.7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1:13" ht="13.5" thickBot="1">
      <c r="A78" t="s">
        <v>73</v>
      </c>
      <c r="B78" s="16">
        <f>SUM(B73:B77)</f>
        <v>45000</v>
      </c>
      <c r="C78" s="16">
        <f aca="true" t="shared" si="8" ref="C78:M78">SUM(C73:C77)</f>
        <v>10000</v>
      </c>
      <c r="D78" s="16">
        <f t="shared" si="8"/>
        <v>0</v>
      </c>
      <c r="E78" s="16">
        <f t="shared" si="8"/>
        <v>0</v>
      </c>
      <c r="F78" s="16">
        <f t="shared" si="8"/>
        <v>30000</v>
      </c>
      <c r="G78" s="16">
        <f t="shared" si="8"/>
        <v>85000</v>
      </c>
      <c r="H78" s="16">
        <f t="shared" si="8"/>
        <v>0</v>
      </c>
      <c r="I78" s="16">
        <f t="shared" si="8"/>
        <v>0</v>
      </c>
      <c r="J78" s="16">
        <f t="shared" si="8"/>
        <v>0</v>
      </c>
      <c r="K78" s="16">
        <f t="shared" si="8"/>
        <v>10000</v>
      </c>
      <c r="L78" s="16">
        <f t="shared" si="8"/>
        <v>75000</v>
      </c>
      <c r="M78" s="16">
        <f t="shared" si="8"/>
        <v>0</v>
      </c>
    </row>
    <row r="79" spans="2:13" ht="13.5" thickTop="1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3.5" thickBot="1">
      <c r="A80" s="1" t="s">
        <v>71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ht="12.75">
      <c r="A81" t="s">
        <v>272</v>
      </c>
      <c r="B81" s="10"/>
      <c r="C81" s="10"/>
      <c r="D81" s="10"/>
      <c r="E81" s="10"/>
      <c r="F81" s="10"/>
      <c r="G81" s="10"/>
      <c r="H81" s="10"/>
      <c r="I81" s="10">
        <v>100000</v>
      </c>
      <c r="J81" s="10"/>
      <c r="K81" s="10"/>
      <c r="L81" s="10"/>
      <c r="M81" s="10"/>
    </row>
    <row r="82" spans="2:13" ht="12.7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2:13" ht="12.7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2:13" ht="12.7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1:13" ht="13.5" thickBot="1">
      <c r="A85" t="s">
        <v>73</v>
      </c>
      <c r="B85" s="16">
        <f>SUM(B81:B84)</f>
        <v>0</v>
      </c>
      <c r="C85" s="16">
        <f aca="true" t="shared" si="9" ref="C85:M85">SUM(C81:C84)</f>
        <v>0</v>
      </c>
      <c r="D85" s="16">
        <f t="shared" si="9"/>
        <v>0</v>
      </c>
      <c r="E85" s="16">
        <f t="shared" si="9"/>
        <v>0</v>
      </c>
      <c r="F85" s="16">
        <f t="shared" si="9"/>
        <v>0</v>
      </c>
      <c r="G85" s="16">
        <f t="shared" si="9"/>
        <v>0</v>
      </c>
      <c r="H85" s="16">
        <f t="shared" si="9"/>
        <v>0</v>
      </c>
      <c r="I85" s="16">
        <f t="shared" si="9"/>
        <v>100000</v>
      </c>
      <c r="J85" s="16">
        <f t="shared" si="9"/>
        <v>0</v>
      </c>
      <c r="K85" s="16">
        <f t="shared" si="9"/>
        <v>0</v>
      </c>
      <c r="L85" s="16">
        <f t="shared" si="9"/>
        <v>0</v>
      </c>
      <c r="M85" s="16">
        <f t="shared" si="9"/>
        <v>0</v>
      </c>
    </row>
    <row r="86" spans="2:13" ht="13.5" thickTop="1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1:13" ht="13.5" thickBot="1">
      <c r="A87" s="1" t="s">
        <v>275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2:13" ht="12.7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2:13" ht="12.7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2:13" ht="12.7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2:13" ht="12.7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2:13" ht="12.7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1:13" ht="13.5" thickBot="1">
      <c r="A93" t="s">
        <v>73</v>
      </c>
      <c r="B93" s="16">
        <f>SUM(B88:B92)</f>
        <v>0</v>
      </c>
      <c r="C93" s="16">
        <f aca="true" t="shared" si="10" ref="C93:M93">SUM(C88:C92)</f>
        <v>0</v>
      </c>
      <c r="D93" s="16">
        <f t="shared" si="10"/>
        <v>0</v>
      </c>
      <c r="E93" s="16">
        <f t="shared" si="10"/>
        <v>0</v>
      </c>
      <c r="F93" s="16">
        <f t="shared" si="10"/>
        <v>0</v>
      </c>
      <c r="G93" s="16">
        <f t="shared" si="10"/>
        <v>0</v>
      </c>
      <c r="H93" s="16">
        <f t="shared" si="10"/>
        <v>0</v>
      </c>
      <c r="I93" s="16">
        <f t="shared" si="10"/>
        <v>0</v>
      </c>
      <c r="J93" s="16">
        <f t="shared" si="10"/>
        <v>0</v>
      </c>
      <c r="K93" s="16">
        <f t="shared" si="10"/>
        <v>0</v>
      </c>
      <c r="L93" s="16">
        <f t="shared" si="10"/>
        <v>0</v>
      </c>
      <c r="M93" s="16">
        <f t="shared" si="10"/>
        <v>0</v>
      </c>
    </row>
    <row r="94" ht="14.25" thickBot="1" thickTop="1"/>
    <row r="95" spans="2:13" ht="13.5" thickBot="1">
      <c r="B95" s="6">
        <v>2009</v>
      </c>
      <c r="C95" s="7">
        <v>2010</v>
      </c>
      <c r="D95" s="7">
        <v>2011</v>
      </c>
      <c r="E95" s="7">
        <v>2012</v>
      </c>
      <c r="F95" s="7">
        <v>2013</v>
      </c>
      <c r="G95" s="7">
        <v>2014</v>
      </c>
      <c r="H95" s="7">
        <v>2015</v>
      </c>
      <c r="I95" s="7">
        <v>2016</v>
      </c>
      <c r="J95" s="7">
        <v>2017</v>
      </c>
      <c r="K95" s="7">
        <v>2018</v>
      </c>
      <c r="L95" s="7">
        <v>2019</v>
      </c>
      <c r="M95" s="8">
        <v>2020</v>
      </c>
    </row>
    <row r="97" ht="13.5" thickBot="1">
      <c r="A97" s="1" t="s">
        <v>74</v>
      </c>
    </row>
    <row r="98" spans="2:13" ht="12.7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2:13" ht="12.7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2:13" ht="12.7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2:13" ht="12.7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3" ht="13.5" thickBot="1">
      <c r="A102" t="s">
        <v>73</v>
      </c>
      <c r="B102" s="16">
        <f>SUM(B98:B101)</f>
        <v>0</v>
      </c>
      <c r="C102" s="16">
        <f aca="true" t="shared" si="11" ref="C102:M102">SUM(C98:C101)</f>
        <v>0</v>
      </c>
      <c r="D102" s="16">
        <f t="shared" si="11"/>
        <v>0</v>
      </c>
      <c r="E102" s="16">
        <f t="shared" si="11"/>
        <v>0</v>
      </c>
      <c r="F102" s="16">
        <f t="shared" si="11"/>
        <v>0</v>
      </c>
      <c r="G102" s="16">
        <f t="shared" si="11"/>
        <v>0</v>
      </c>
      <c r="H102" s="16">
        <f t="shared" si="11"/>
        <v>0</v>
      </c>
      <c r="I102" s="16">
        <f t="shared" si="11"/>
        <v>0</v>
      </c>
      <c r="J102" s="16">
        <f t="shared" si="11"/>
        <v>0</v>
      </c>
      <c r="K102" s="16">
        <f t="shared" si="11"/>
        <v>0</v>
      </c>
      <c r="L102" s="16">
        <f t="shared" si="11"/>
        <v>0</v>
      </c>
      <c r="M102" s="16">
        <f t="shared" si="11"/>
        <v>0</v>
      </c>
    </row>
    <row r="103" spans="2:13" ht="13.5" thickTop="1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1:13" ht="13.5" thickBot="1">
      <c r="A104" s="1" t="s">
        <v>75</v>
      </c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2:13" ht="12.7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2:13" ht="12.7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2:13" ht="12.7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2:13" ht="12.75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3" ht="13.5" thickBot="1">
      <c r="A109" t="s">
        <v>73</v>
      </c>
      <c r="B109" s="16">
        <f>SUM(B105:B108)</f>
        <v>0</v>
      </c>
      <c r="C109" s="16">
        <f aca="true" t="shared" si="12" ref="C109:M109">SUM(C105:C108)</f>
        <v>0</v>
      </c>
      <c r="D109" s="16">
        <f t="shared" si="12"/>
        <v>0</v>
      </c>
      <c r="E109" s="16">
        <f t="shared" si="12"/>
        <v>0</v>
      </c>
      <c r="F109" s="16">
        <f t="shared" si="12"/>
        <v>0</v>
      </c>
      <c r="G109" s="16">
        <f t="shared" si="12"/>
        <v>0</v>
      </c>
      <c r="H109" s="16">
        <f t="shared" si="12"/>
        <v>0</v>
      </c>
      <c r="I109" s="16">
        <f t="shared" si="12"/>
        <v>0</v>
      </c>
      <c r="J109" s="16">
        <f t="shared" si="12"/>
        <v>0</v>
      </c>
      <c r="K109" s="16">
        <f t="shared" si="12"/>
        <v>0</v>
      </c>
      <c r="L109" s="16">
        <f t="shared" si="12"/>
        <v>0</v>
      </c>
      <c r="M109" s="16">
        <f t="shared" si="12"/>
        <v>0</v>
      </c>
    </row>
    <row r="110" spans="2:13" ht="13.5" thickTop="1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1:13" ht="13.5" thickBot="1">
      <c r="A111" s="1" t="s">
        <v>114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1:13" ht="12.75">
      <c r="A112" t="s">
        <v>273</v>
      </c>
      <c r="B112" s="10"/>
      <c r="C112" s="10">
        <v>5000</v>
      </c>
      <c r="D112" s="10"/>
      <c r="E112" s="10"/>
      <c r="F112" s="10"/>
      <c r="G112" s="10">
        <v>5000</v>
      </c>
      <c r="H112" s="10"/>
      <c r="I112" s="10"/>
      <c r="J112" s="10"/>
      <c r="K112" s="10">
        <v>5000</v>
      </c>
      <c r="L112" s="10"/>
      <c r="M112" s="10"/>
    </row>
    <row r="113" spans="2:13" ht="12.7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2:13" ht="12.7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2:13" ht="12.7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1:13" ht="13.5" thickBot="1">
      <c r="A116" s="5" t="s">
        <v>73</v>
      </c>
      <c r="B116" s="16">
        <f>SUM(B112:B115)</f>
        <v>0</v>
      </c>
      <c r="C116" s="16">
        <f aca="true" t="shared" si="13" ref="C116:M116">SUM(C112:C115)</f>
        <v>5000</v>
      </c>
      <c r="D116" s="16">
        <f t="shared" si="13"/>
        <v>0</v>
      </c>
      <c r="E116" s="16">
        <f t="shared" si="13"/>
        <v>0</v>
      </c>
      <c r="F116" s="16">
        <f t="shared" si="13"/>
        <v>0</v>
      </c>
      <c r="G116" s="16">
        <f t="shared" si="13"/>
        <v>5000</v>
      </c>
      <c r="H116" s="16">
        <f t="shared" si="13"/>
        <v>0</v>
      </c>
      <c r="I116" s="16">
        <f t="shared" si="13"/>
        <v>0</v>
      </c>
      <c r="J116" s="16">
        <f t="shared" si="13"/>
        <v>0</v>
      </c>
      <c r="K116" s="16">
        <f t="shared" si="13"/>
        <v>5000</v>
      </c>
      <c r="L116" s="16">
        <f t="shared" si="13"/>
        <v>0</v>
      </c>
      <c r="M116" s="16">
        <f t="shared" si="13"/>
        <v>0</v>
      </c>
    </row>
    <row r="117" spans="2:13" ht="13.5" thickTop="1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1:13" ht="13.5" thickBot="1">
      <c r="A118" s="1" t="s">
        <v>116</v>
      </c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1:13" ht="12.75">
      <c r="A119" t="s">
        <v>274</v>
      </c>
      <c r="B119" s="10"/>
      <c r="C119" s="10"/>
      <c r="D119" s="10">
        <v>10000</v>
      </c>
      <c r="E119" s="10"/>
      <c r="F119" s="10"/>
      <c r="G119" s="10">
        <v>10000</v>
      </c>
      <c r="H119" s="10"/>
      <c r="I119" s="10"/>
      <c r="J119" s="10">
        <v>10000</v>
      </c>
      <c r="K119" s="10"/>
      <c r="L119" s="10"/>
      <c r="M119" s="10">
        <v>10000</v>
      </c>
    </row>
    <row r="120" spans="2:13" ht="12.75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2:13" ht="12.75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2:13" ht="12.7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ht="13.5" thickBot="1">
      <c r="A123" s="5" t="s">
        <v>73</v>
      </c>
      <c r="B123" s="16">
        <f>SUM(B119:B122)</f>
        <v>0</v>
      </c>
      <c r="C123" s="16">
        <f aca="true" t="shared" si="14" ref="C123:M123">SUM(C119:C122)</f>
        <v>0</v>
      </c>
      <c r="D123" s="16">
        <f t="shared" si="14"/>
        <v>10000</v>
      </c>
      <c r="E123" s="16">
        <f t="shared" si="14"/>
        <v>0</v>
      </c>
      <c r="F123" s="16">
        <f t="shared" si="14"/>
        <v>0</v>
      </c>
      <c r="G123" s="16">
        <f t="shared" si="14"/>
        <v>10000</v>
      </c>
      <c r="H123" s="16">
        <f t="shared" si="14"/>
        <v>0</v>
      </c>
      <c r="I123" s="16">
        <f t="shared" si="14"/>
        <v>0</v>
      </c>
      <c r="J123" s="16">
        <f t="shared" si="14"/>
        <v>10000</v>
      </c>
      <c r="K123" s="16">
        <f t="shared" si="14"/>
        <v>0</v>
      </c>
      <c r="L123" s="16">
        <f t="shared" si="14"/>
        <v>0</v>
      </c>
      <c r="M123" s="16">
        <f t="shared" si="14"/>
        <v>10000</v>
      </c>
    </row>
    <row r="124" spans="2:13" ht="13.5" thickTop="1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1:13" ht="13.5" thickBot="1">
      <c r="A125" s="5" t="s">
        <v>229</v>
      </c>
      <c r="B125" s="16">
        <f>B9+B17+B26+B36+B44+B52+B60+B70+B78+B85+B93+B102+B109+B116+B123</f>
        <v>845000</v>
      </c>
      <c r="C125" s="16">
        <f aca="true" t="shared" si="15" ref="C125:M125">C9+C17+C26+C36+C44+C52+C60+C70+C78+C85+C93+C102+C109+C116+C123</f>
        <v>15000</v>
      </c>
      <c r="D125" s="16">
        <f t="shared" si="15"/>
        <v>175000</v>
      </c>
      <c r="E125" s="16">
        <f t="shared" si="15"/>
        <v>665000</v>
      </c>
      <c r="F125" s="16">
        <f t="shared" si="15"/>
        <v>105000</v>
      </c>
      <c r="G125" s="16">
        <f t="shared" si="15"/>
        <v>100000</v>
      </c>
      <c r="H125" s="16">
        <f t="shared" si="15"/>
        <v>15000</v>
      </c>
      <c r="I125" s="16">
        <f t="shared" si="15"/>
        <v>100000</v>
      </c>
      <c r="J125" s="16">
        <f t="shared" si="15"/>
        <v>25000</v>
      </c>
      <c r="K125" s="16">
        <f t="shared" si="15"/>
        <v>15000</v>
      </c>
      <c r="L125" s="16">
        <f t="shared" si="15"/>
        <v>160000</v>
      </c>
      <c r="M125" s="16">
        <f t="shared" si="15"/>
        <v>1635000</v>
      </c>
    </row>
    <row r="126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Sandeløv</dc:creator>
  <cp:keywords/>
  <dc:description/>
  <cp:lastModifiedBy>Frank Sandeløv</cp:lastModifiedBy>
  <cp:lastPrinted>2009-02-05T15:09:35Z</cp:lastPrinted>
  <dcterms:created xsi:type="dcterms:W3CDTF">2009-01-31T18:59:28Z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